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esktop\"/>
    </mc:Choice>
  </mc:AlternateContent>
  <xr:revisionPtr revIDLastSave="0" documentId="8_{2478CC41-3697-4C5E-8C38-B42C1254A6A9}" xr6:coauthVersionLast="45" xr6:coauthVersionMax="45" xr10:uidLastSave="{00000000-0000-0000-0000-000000000000}"/>
  <bookViews>
    <workbookView xWindow="-108" yWindow="-108" windowWidth="23256" windowHeight="12576" firstSheet="20" activeTab="26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  <sheet name="DCF" sheetId="179" r:id="rId39"/>
  </sheets>
  <calcPr calcId="181029"/>
</workbook>
</file>

<file path=xl/calcChain.xml><?xml version="1.0" encoding="utf-8"?>
<calcChain xmlns="http://schemas.openxmlformats.org/spreadsheetml/2006/main">
  <c r="C3" i="179" l="1"/>
  <c r="C5" i="175" l="1"/>
  <c r="I20" i="172" l="1"/>
  <c r="I19" i="172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6" i="178" l="1"/>
  <c r="R26" i="178"/>
  <c r="Q26" i="178"/>
  <c r="P26" i="178"/>
  <c r="O26" i="178"/>
  <c r="N26" i="178"/>
  <c r="M26" i="178"/>
  <c r="L26" i="178"/>
  <c r="K26" i="178"/>
  <c r="J26" i="178"/>
  <c r="H26" i="178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P8" i="182" l="1"/>
  <c r="N8" i="180"/>
  <c r="O8" i="180" s="1"/>
  <c r="P8" i="180" s="1"/>
  <c r="Q8" i="180" s="1"/>
  <c r="R8" i="180" s="1"/>
  <c r="S8" i="180" s="1"/>
  <c r="S8" i="182" s="1"/>
  <c r="C10" i="175"/>
  <c r="I22" i="175" s="1"/>
  <c r="Q8" i="182" l="1"/>
  <c r="O8" i="182"/>
  <c r="R8" i="182"/>
  <c r="P22" i="175"/>
  <c r="Q22" i="175"/>
  <c r="S22" i="175"/>
  <c r="O22" i="175"/>
  <c r="R22" i="175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F18" i="179" s="1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I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G13" i="204"/>
  <c r="G8" i="204"/>
  <c r="D15" i="204"/>
  <c r="D14" i="204"/>
  <c r="L8" i="204"/>
  <c r="M8" i="204" s="1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I13" i="204"/>
  <c r="J13" i="204" s="1"/>
  <c r="F13" i="204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C7" i="204"/>
  <c r="L7" i="204" s="1"/>
  <c r="M7" i="204" s="1"/>
  <c r="M17" i="204" l="1"/>
  <c r="L9" i="204"/>
  <c r="M9" i="204" s="1"/>
  <c r="G18" i="204"/>
  <c r="L14" i="204"/>
  <c r="M14" i="204" s="1"/>
  <c r="L17" i="204"/>
  <c r="G15" i="175"/>
  <c r="F19" i="179"/>
  <c r="J18" i="204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G9" i="168"/>
  <c r="G26" i="168" s="1"/>
  <c r="G10" i="168"/>
  <c r="H7" i="168" s="1"/>
  <c r="D14" i="203"/>
  <c r="D12" i="203"/>
  <c r="F16" i="203"/>
  <c r="G16" i="203" s="1"/>
  <c r="C16" i="203"/>
  <c r="D16" i="203" s="1"/>
  <c r="F15" i="203"/>
  <c r="G15" i="203" s="1"/>
  <c r="C15" i="203"/>
  <c r="D15" i="203" s="1"/>
  <c r="F14" i="203"/>
  <c r="G14" i="203" s="1"/>
  <c r="C14" i="203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G10" i="203" s="1"/>
  <c r="C10" i="203"/>
  <c r="D10" i="203" s="1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D7" i="203" s="1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l="1"/>
  <c r="H10" i="185"/>
  <c r="G12" i="192"/>
  <c r="E12" i="192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8" i="180"/>
  <c r="I7" i="180"/>
  <c r="J5" i="182" l="1"/>
  <c r="H11" i="180"/>
  <c r="H5" i="182"/>
  <c r="I9" i="182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N18" i="192" l="1"/>
  <c r="N22" i="192" s="1"/>
  <c r="O5" i="186"/>
  <c r="L5" i="186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G6" i="176"/>
  <c r="C11" i="182"/>
  <c r="H11" i="182"/>
  <c r="H5" i="186"/>
  <c r="H5" i="193" s="1"/>
  <c r="M17" i="180"/>
  <c r="I12" i="192" l="1"/>
  <c r="I9" i="192" s="1"/>
  <c r="I9" i="206" s="1"/>
  <c r="H9" i="206" s="1"/>
  <c r="H11" i="193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l="1"/>
  <c r="G34" i="155"/>
  <c r="G44" i="154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R23" i="177" l="1"/>
  <c r="J23" i="177"/>
  <c r="Q23" i="177"/>
  <c r="I23" i="177"/>
  <c r="N23" i="177"/>
  <c r="L23" i="177"/>
  <c r="S23" i="177"/>
  <c r="P23" i="177"/>
  <c r="O23" i="177"/>
  <c r="M23" i="177"/>
  <c r="K23" i="177"/>
  <c r="L27" i="177"/>
  <c r="S27" i="177"/>
  <c r="K27" i="177"/>
  <c r="P27" i="177"/>
  <c r="O27" i="177"/>
  <c r="M27" i="177"/>
  <c r="R27" i="177"/>
  <c r="J27" i="177"/>
  <c r="Q27" i="177"/>
  <c r="I27" i="177"/>
  <c r="N27" i="177"/>
  <c r="N21" i="177"/>
  <c r="O25" i="177"/>
  <c r="N25" i="177"/>
  <c r="K25" i="177"/>
  <c r="J25" i="177"/>
  <c r="Q25" i="177"/>
  <c r="M25" i="177"/>
  <c r="L25" i="177"/>
  <c r="S25" i="177"/>
  <c r="R25" i="177"/>
  <c r="I25" i="177"/>
  <c r="P25" i="177"/>
  <c r="Q21" i="175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R21" i="177" s="1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K21" i="177" l="1"/>
  <c r="S21" i="177"/>
  <c r="P21" i="177"/>
  <c r="O21" i="177"/>
  <c r="I21" i="177"/>
  <c r="Q21" i="177"/>
  <c r="L21" i="177"/>
  <c r="J21" i="177"/>
  <c r="M21" i="177"/>
  <c r="E19" i="175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l="1"/>
  <c r="F15" i="155" s="1"/>
  <c r="F33" i="155" s="1"/>
  <c r="F39" i="154"/>
  <c r="E29" i="168"/>
  <c r="E8" i="178"/>
  <c r="F18" i="178"/>
  <c r="F30" i="177"/>
  <c r="C26" i="168"/>
  <c r="C29" i="168"/>
  <c r="G7" i="168"/>
  <c r="G8" i="168" s="1"/>
  <c r="G16" i="178" s="1"/>
  <c r="I7" i="168"/>
  <c r="F11" i="169"/>
  <c r="F14" i="169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K30" i="177" l="1"/>
  <c r="M30" i="177"/>
  <c r="R30" i="177"/>
  <c r="P30" i="177"/>
  <c r="O30" i="177"/>
  <c r="N30" i="177"/>
  <c r="L30" i="177"/>
  <c r="Q30" i="177"/>
  <c r="S30" i="177"/>
  <c r="I30" i="177"/>
  <c r="J30" i="177"/>
  <c r="F19" i="155"/>
  <c r="F21" i="155" s="1"/>
  <c r="F23" i="155" s="1"/>
  <c r="F34" i="155" s="1"/>
  <c r="F44" i="154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17" i="176" l="1"/>
  <c r="F24" i="175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D19" i="155"/>
  <c r="D21" i="155" s="1"/>
  <c r="D23" i="155" s="1"/>
  <c r="C39" i="154"/>
  <c r="E11" i="155"/>
  <c r="E15" i="155" s="1"/>
  <c r="E33" i="155" s="1"/>
  <c r="E39" i="154"/>
  <c r="F7" i="176"/>
  <c r="C19" i="155" l="1"/>
  <c r="C21" i="155" s="1"/>
  <c r="C23" i="155" s="1"/>
  <c r="C35" i="155" s="1"/>
  <c r="C33" i="155"/>
  <c r="D17" i="176"/>
  <c r="D34" i="155"/>
  <c r="I19" i="177"/>
  <c r="H13" i="178" s="1"/>
  <c r="I6" i="169"/>
  <c r="I8" i="177" s="1"/>
  <c r="H12" i="178" s="1"/>
  <c r="F9" i="176"/>
  <c r="H8" i="168"/>
  <c r="H14" i="168" s="1"/>
  <c r="E7" i="176"/>
  <c r="D42" i="154"/>
  <c r="E19" i="155"/>
  <c r="E21" i="155" s="1"/>
  <c r="E23" i="155" s="1"/>
  <c r="C11" i="169"/>
  <c r="C42" i="154"/>
  <c r="E11" i="169"/>
  <c r="E14" i="169" s="1"/>
  <c r="E42" i="154"/>
  <c r="D36" i="155"/>
  <c r="D35" i="155"/>
  <c r="E17" i="176" l="1"/>
  <c r="E34" i="155"/>
  <c r="C36" i="155"/>
  <c r="C17" i="176"/>
  <c r="C34" i="155"/>
  <c r="H16" i="178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N5" i="167"/>
  <c r="H10" i="168"/>
  <c r="I10" i="168"/>
  <c r="M7" i="167"/>
  <c r="M8" i="176" s="1"/>
  <c r="N11" i="186"/>
  <c r="N5" i="212" s="1"/>
  <c r="N6" i="212" s="1"/>
  <c r="N11" i="193"/>
  <c r="N6" i="176" s="1"/>
  <c r="M15" i="177" l="1"/>
  <c r="M9" i="177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5" i="178" s="1"/>
  <c r="L6" i="178" s="1"/>
  <c r="L7" i="178" s="1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3" i="177"/>
  <c r="K7" i="168"/>
  <c r="K8" i="168" s="1"/>
  <c r="J18" i="172" l="1"/>
  <c r="J6" i="179"/>
  <c r="S6" i="212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0" i="168"/>
  <c r="K18" i="172" l="1"/>
  <c r="K6" i="179"/>
  <c r="K19" i="172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29" i="168"/>
  <c r="L10" i="168"/>
  <c r="M7" i="168" s="1"/>
  <c r="L18" i="172" l="1"/>
  <c r="L19" i="172" s="1"/>
  <c r="L6" i="179"/>
  <c r="L13" i="177"/>
  <c r="M8" i="168"/>
  <c r="M19" i="168" s="1"/>
  <c r="L20" i="172" l="1"/>
  <c r="O19" i="168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29" i="168"/>
  <c r="M18" i="172" l="1"/>
  <c r="M6" i="179"/>
  <c r="M19" i="172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29" i="168"/>
  <c r="N10" i="168"/>
  <c r="O7" i="168" s="1"/>
  <c r="N18" i="172" l="1"/>
  <c r="N20" i="172" s="1"/>
  <c r="N6" i="179"/>
  <c r="O8" i="168"/>
  <c r="N13" i="177"/>
  <c r="N19" i="172" l="1"/>
  <c r="O16" i="178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6" i="179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l="1"/>
  <c r="H6" i="179"/>
  <c r="H20" i="172"/>
  <c r="H19" i="172"/>
  <c r="I28" i="177" s="1"/>
  <c r="P29" i="168"/>
  <c r="P8" i="178"/>
  <c r="P9" i="178" s="1"/>
  <c r="P20" i="178" s="1"/>
  <c r="P6" i="179" s="1"/>
  <c r="P10" i="168"/>
  <c r="I9" i="178"/>
  <c r="I20" i="178" s="1"/>
  <c r="Q7" i="168" l="1"/>
  <c r="P13" i="177"/>
  <c r="P18" i="172"/>
  <c r="J28" i="177"/>
  <c r="I31" i="177"/>
  <c r="H23" i="178"/>
  <c r="I23" i="178" s="1"/>
  <c r="I15" i="175"/>
  <c r="I11" i="172"/>
  <c r="I12" i="172" s="1"/>
  <c r="P20" i="172" l="1"/>
  <c r="P19" i="172"/>
  <c r="Q8" i="168"/>
  <c r="I10" i="176"/>
  <c r="J11" i="172"/>
  <c r="J12" i="172" s="1"/>
  <c r="J31" i="177"/>
  <c r="J15" i="175"/>
  <c r="K28" i="177"/>
  <c r="J23" i="178" s="1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K23" i="178" s="1"/>
  <c r="H12" i="172"/>
  <c r="H10" i="176" s="1"/>
  <c r="I11" i="176" l="1"/>
  <c r="I12" i="176" s="1"/>
  <c r="Q13" i="177"/>
  <c r="R7" i="168"/>
  <c r="Q29" i="168"/>
  <c r="Q8" i="178"/>
  <c r="Q9" i="178" s="1"/>
  <c r="Q20" i="178" s="1"/>
  <c r="Q6" i="179" s="1"/>
  <c r="M28" i="177"/>
  <c r="L23" i="178" s="1"/>
  <c r="L31" i="177"/>
  <c r="L15" i="175"/>
  <c r="L11" i="172"/>
  <c r="L12" i="172" s="1"/>
  <c r="H22" i="178"/>
  <c r="H11" i="176"/>
  <c r="I14" i="176" l="1"/>
  <c r="Q18" i="172"/>
  <c r="R8" i="168"/>
  <c r="N28" i="177"/>
  <c r="M23" i="178" s="1"/>
  <c r="M31" i="177"/>
  <c r="M15" i="175"/>
  <c r="I22" i="178"/>
  <c r="H12" i="176"/>
  <c r="H25" i="178" s="1"/>
  <c r="I25" i="178" s="1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23" i="178" s="1"/>
  <c r="N31" i="177"/>
  <c r="N15" i="175"/>
  <c r="R29" i="168" l="1"/>
  <c r="R8" i="178"/>
  <c r="R9" i="178" s="1"/>
  <c r="R20" i="178" s="1"/>
  <c r="R6" i="179" s="1"/>
  <c r="R10" i="168"/>
  <c r="O11" i="172"/>
  <c r="O12" i="172" s="1"/>
  <c r="P28" i="177"/>
  <c r="O23" i="178" s="1"/>
  <c r="O31" i="177"/>
  <c r="O15" i="175"/>
  <c r="I16" i="175"/>
  <c r="H24" i="178"/>
  <c r="I24" i="178" s="1"/>
  <c r="I34" i="177"/>
  <c r="R13" i="177" l="1"/>
  <c r="S7" i="168"/>
  <c r="R18" i="172"/>
  <c r="I19" i="175"/>
  <c r="I18" i="175"/>
  <c r="I24" i="175" s="1"/>
  <c r="H9" i="179" s="1"/>
  <c r="H10" i="179" s="1"/>
  <c r="I28" i="178"/>
  <c r="H28" i="178"/>
  <c r="Q28" i="177"/>
  <c r="P23" i="178" s="1"/>
  <c r="P31" i="177"/>
  <c r="P15" i="175"/>
  <c r="P11" i="172"/>
  <c r="P12" i="172" s="1"/>
  <c r="R20" i="172" l="1"/>
  <c r="R19" i="172"/>
  <c r="R28" i="177" s="1"/>
  <c r="Q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R10" i="176"/>
  <c r="M10" i="176"/>
  <c r="L10" i="176"/>
  <c r="Q10" i="176"/>
  <c r="Q22" i="178" s="1"/>
  <c r="K10" i="176"/>
  <c r="N10" i="176"/>
  <c r="O10" i="176"/>
  <c r="P10" i="176"/>
  <c r="P11" i="176" s="1"/>
  <c r="J10" i="176"/>
  <c r="J22" i="178" l="1"/>
  <c r="S12" i="172"/>
  <c r="S10" i="176" s="1"/>
  <c r="S9" i="178"/>
  <c r="S20" i="178" s="1"/>
  <c r="S6" i="179" s="1"/>
  <c r="K11" i="176"/>
  <c r="K22" i="178"/>
  <c r="N11" i="176"/>
  <c r="N22" i="178"/>
  <c r="R11" i="176"/>
  <c r="R22" i="178"/>
  <c r="M11" i="176"/>
  <c r="M22" i="178"/>
  <c r="J11" i="176"/>
  <c r="L22" i="178"/>
  <c r="L11" i="176"/>
  <c r="P12" i="176"/>
  <c r="P25" i="178" s="1"/>
  <c r="O11" i="176"/>
  <c r="O22" i="178"/>
  <c r="Q11" i="176"/>
  <c r="P22" i="178"/>
  <c r="S22" i="178" l="1"/>
  <c r="S11" i="176"/>
  <c r="S18" i="172"/>
  <c r="P14" i="176"/>
  <c r="N12" i="176"/>
  <c r="N25" i="178" s="1"/>
  <c r="S12" i="176"/>
  <c r="S25" i="178" s="1"/>
  <c r="R12" i="176"/>
  <c r="R25" i="178" s="1"/>
  <c r="Q12" i="176"/>
  <c r="Q25" i="178" s="1"/>
  <c r="J12" i="176"/>
  <c r="L12" i="176"/>
  <c r="L25" i="178" s="1"/>
  <c r="O12" i="176"/>
  <c r="O25" i="178" s="1"/>
  <c r="M12" i="176"/>
  <c r="M25" i="178" s="1"/>
  <c r="K12" i="176"/>
  <c r="K25" i="178" s="1"/>
  <c r="S19" i="172" l="1"/>
  <c r="S28" i="177" s="1"/>
  <c r="S20" i="172"/>
  <c r="M14" i="176"/>
  <c r="J25" i="178"/>
  <c r="O14" i="176"/>
  <c r="N14" i="176"/>
  <c r="Q14" i="176"/>
  <c r="R14" i="176"/>
  <c r="J14" i="176"/>
  <c r="L14" i="176"/>
  <c r="K14" i="176"/>
  <c r="S14" i="176"/>
  <c r="S23" i="178" l="1"/>
  <c r="R23" i="178"/>
  <c r="J32" i="177"/>
  <c r="J24" i="178" s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J9" i="179" s="1"/>
  <c r="J10" i="179" s="1"/>
  <c r="K34" i="177"/>
  <c r="K16" i="175"/>
  <c r="K18" i="175" s="1"/>
  <c r="L34" i="177"/>
  <c r="L24" i="178"/>
  <c r="L28" i="178" s="1"/>
  <c r="L31" i="178" s="1"/>
  <c r="J5" i="177"/>
  <c r="L16" i="175"/>
  <c r="L19" i="175" s="1"/>
  <c r="K24" i="178"/>
  <c r="K28" i="178" s="1"/>
  <c r="K31" i="178" s="1"/>
  <c r="J31" i="178"/>
  <c r="J32" i="178" s="1"/>
  <c r="K30" i="178" s="1"/>
  <c r="M34" i="177"/>
  <c r="M24" i="178"/>
  <c r="M28" i="178" s="1"/>
  <c r="M31" i="178" s="1"/>
  <c r="M16" i="175"/>
  <c r="K19" i="175" l="1"/>
  <c r="K24" i="175" s="1"/>
  <c r="K9" i="179" s="1"/>
  <c r="K10" i="179" s="1"/>
  <c r="L18" i="175"/>
  <c r="L24" i="175" s="1"/>
  <c r="L9" i="179" s="1"/>
  <c r="L10" i="179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4" i="178"/>
  <c r="N28" i="178" s="1"/>
  <c r="N31" i="178" s="1"/>
  <c r="N34" i="177"/>
  <c r="N16" i="175"/>
  <c r="M18" i="175"/>
  <c r="M19" i="175"/>
  <c r="K34" i="178" l="1"/>
  <c r="K17" i="177"/>
  <c r="K36" i="177" s="1"/>
  <c r="N5" i="177"/>
  <c r="M24" i="175"/>
  <c r="M9" i="179" s="1"/>
  <c r="M10" i="179" s="1"/>
  <c r="L34" i="178"/>
  <c r="L17" i="177"/>
  <c r="L36" i="177" s="1"/>
  <c r="N32" i="178"/>
  <c r="O30" i="178" s="1"/>
  <c r="O34" i="177"/>
  <c r="O24" i="178"/>
  <c r="O28" i="178" s="1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N9" i="179" s="1"/>
  <c r="N10" i="179" s="1"/>
  <c r="P34" i="177"/>
  <c r="P16" i="175"/>
  <c r="P24" i="178"/>
  <c r="P28" i="178" s="1"/>
  <c r="P31" i="178" s="1"/>
  <c r="O19" i="175"/>
  <c r="O18" i="175"/>
  <c r="O24" i="175" l="1"/>
  <c r="O9" i="179" s="1"/>
  <c r="O10" i="179" s="1"/>
  <c r="P5" i="177"/>
  <c r="N34" i="178"/>
  <c r="N17" i="177"/>
  <c r="N36" i="177" s="1"/>
  <c r="P32" i="178"/>
  <c r="Q30" i="178" s="1"/>
  <c r="Q34" i="177"/>
  <c r="Q16" i="175"/>
  <c r="Q24" i="178"/>
  <c r="Q28" i="178" s="1"/>
  <c r="Q31" i="178" s="1"/>
  <c r="P19" i="175"/>
  <c r="P18" i="175"/>
  <c r="Q5" i="177" l="1"/>
  <c r="P24" i="175"/>
  <c r="P9" i="179" s="1"/>
  <c r="P10" i="179" s="1"/>
  <c r="O17" i="177"/>
  <c r="O36" i="177" s="1"/>
  <c r="O34" i="178"/>
  <c r="Q32" i="178"/>
  <c r="R30" i="178" s="1"/>
  <c r="R34" i="177"/>
  <c r="R24" i="178"/>
  <c r="R28" i="178" s="1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24" i="178"/>
  <c r="S16" i="175"/>
  <c r="R18" i="175"/>
  <c r="R19" i="175"/>
  <c r="Q24" i="175"/>
  <c r="Q9" i="179" s="1"/>
  <c r="Q10" i="179" s="1"/>
  <c r="S28" i="178" l="1"/>
  <c r="S5" i="177" s="1"/>
  <c r="Q34" i="178"/>
  <c r="Q17" i="177"/>
  <c r="Q36" i="177" s="1"/>
  <c r="R24" i="175"/>
  <c r="R9" i="179" s="1"/>
  <c r="R10" i="179" s="1"/>
  <c r="S19" i="175"/>
  <c r="S18" i="175"/>
  <c r="S24" i="175" l="1"/>
  <c r="S9" i="179" s="1"/>
  <c r="R34" i="178"/>
  <c r="R17" i="177"/>
  <c r="R36" i="177" s="1"/>
  <c r="S31" i="178"/>
  <c r="S32" i="178" s="1"/>
  <c r="S10" i="179" l="1"/>
  <c r="F14" i="179" s="1"/>
  <c r="S7" i="179"/>
  <c r="S17" i="177"/>
  <c r="S36" i="177" s="1"/>
  <c r="S34" i="178"/>
  <c r="F15" i="179" l="1"/>
  <c r="S11" i="179"/>
  <c r="F16" i="179" s="1"/>
  <c r="F17" i="179" s="1"/>
  <c r="F20" i="179" s="1"/>
  <c r="F22" i="17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<sst xmlns="http://schemas.openxmlformats.org/spreadsheetml/2006/main" count="1106" uniqueCount="318">
  <si>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</si>
  <si>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</si>
  <si>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</si>
  <si>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</si>
  <si>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</si>
  <si>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</si>
  <si>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</si>
  <si>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</si>
  <si>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</si>
  <si>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</si>
  <si>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</si>
  <si>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</si>
  <si>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</si>
  <si>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</si>
  <si>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</si>
  <si>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</si>
  <si>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</si>
  <si>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</si>
  <si>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</si>
  <si>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</si>
  <si>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</si>
  <si>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</si>
  <si>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</si>
  <si>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</si>
  <si>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</si>
  <si>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</si>
  <si>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</si>
  <si>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</si>
  <si>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</si>
  <si>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</si>
  <si>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</si>
  <si>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</si>
  <si>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</si>
  <si>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</si>
  <si>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</si>
  <si>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</si>
  <si>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</si>
  <si>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</si>
  <si>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</si>
  <si>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</si>
  <si>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</si>
  <si>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</si>
  <si>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</si>
  <si>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</si>
  <si>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</si>
  <si>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</si>
  <si>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</si>
  <si>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</si>
  <si>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</si>
  <si>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</si>
  <si>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</si>
  <si>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</si>
  <si>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</si>
  <si>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</si>
  <si>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</si>
  <si>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</si>
  <si>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</si>
  <si>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</si>
  <si>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</si>
  <si>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</si>
  <si>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</si>
  <si>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</si>
  <si>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</si>
  <si>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</si>
  <si>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</si>
  <si>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</si>
  <si>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</si>
  <si>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</si>
  <si>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</si>
  <si>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</si>
  <si>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</si>
  <si>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</si>
  <si>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</si>
  <si>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</si>
  <si>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</si>
  <si>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</si>
  <si>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</si>
  <si>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</si>
  <si>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</si>
  <si>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</si>
  <si>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</si>
  <si>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</si>
  <si>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</si>
  <si>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</si>
  <si>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</si>
  <si>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</si>
  <si>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</si>
  <si>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</si>
  <si>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</si>
  <si>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</si>
  <si>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</si>
  <si>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</si>
  <si>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</si>
  <si>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</si>
  <si>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</si>
  <si>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</si>
  <si>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</si>
  <si>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</si>
  <si>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</si>
  <si>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</si>
  <si>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</si>
  <si>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</si>
  <si>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</si>
  <si>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</si>
  <si>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</si>
  <si>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</si>
  <si>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</si>
  <si>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</si>
  <si>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</si>
  <si>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</si>
  <si>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</si>
  <si>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</si>
  <si>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</si>
  <si>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</si>
  <si>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</si>
  <si>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</si>
  <si>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</si>
  <si>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</si>
  <si>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</si>
  <si>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</si>
  <si>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</si>
  <si>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</si>
  <si>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</si>
  <si>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</si>
  <si>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</si>
  <si>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</si>
  <si>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</si>
  <si>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</si>
  <si>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</si>
  <si>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</si>
  <si>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</si>
  <si>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</si>
  <si>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</si>
  <si>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</si>
  <si>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</si>
  <si>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</si>
  <si>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</si>
  <si>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</si>
  <si>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</si>
  <si>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</si>
  <si>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</si>
  <si>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</si>
  <si>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</si>
  <si>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</si>
  <si>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</si>
  <si>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</si>
  <si>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</si>
  <si>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</si>
  <si>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</si>
  <si>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</si>
  <si>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</si>
  <si>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</si>
  <si>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</si>
  <si>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</si>
  <si>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</si>
  <si>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</si>
  <si>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</si>
  <si>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</si>
  <si>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</si>
  <si>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Number of shares outstanding (as of 14 Jan 2018)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</si>
  <si>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</si>
  <si>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</si>
  <si>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</si>
  <si>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</si>
  <si>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</si>
  <si>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</si>
  <si>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</si>
  <si>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</si>
  <si>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</si>
  <si>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</si>
  <si>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</si>
  <si>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</si>
  <si>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</si>
  <si>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</si>
  <si>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</si>
  <si>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</si>
  <si>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</si>
  <si>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</si>
  <si>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</si>
  <si>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</si>
  <si>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</si>
  <si>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</si>
  <si>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</si>
  <si>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</si>
  <si>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</si>
  <si>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</si>
  <si>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</si>
  <si>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</si>
  <si>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</si>
  <si>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</si>
  <si>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</si>
  <si>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</si>
  <si>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</si>
  <si>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</si>
  <si>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</si>
  <si>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</si>
  <si>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</si>
  <si>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</si>
  <si>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</si>
  <si>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</si>
  <si>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</si>
  <si>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</si>
  <si>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</si>
  <si>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</si>
  <si>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</si>
  <si>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</si>
  <si>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</si>
  <si>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</si>
  <si>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</si>
  <si>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</si>
  <si>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</si>
  <si>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</si>
  <si>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</si>
  <si>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</si>
  <si>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</si>
  <si>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</si>
  <si>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</si>
  <si>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</si>
  <si>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</si>
  <si>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</si>
  <si>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</si>
  <si>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</si>
  <si>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</si>
  <si>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</si>
  <si>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</si>
  <si>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</si>
  <si>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</si>
  <si>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</si>
  <si>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</si>
  <si>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</si>
  <si>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</si>
  <si>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</si>
  <si>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</si>
  <si>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</si>
  <si>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</si>
  <si>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</si>
  <si>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</si>
  <si>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</si>
  <si>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</si>
  <si>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</si>
  <si>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</si>
  <si>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</si>
  <si>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</si>
  <si>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</si>
  <si>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</si>
  <si>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</si>
  <si>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</si>
  <si>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</si>
  <si>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</si>
  <si>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</si>
  <si>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</si>
  <si>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</si>
  <si>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</si>
  <si>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</si>
  <si>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</si>
  <si>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</si>
  <si>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</si>
  <si>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</si>
  <si>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</si>
  <si>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</si>
  <si>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</si>
  <si>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</si>
  <si>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</si>
  <si>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</si>
  <si>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</si>
  <si>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</si>
  <si>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</si>
  <si>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</si>
  <si>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</si>
  <si>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</si>
  <si>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</si>
  <si>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</si>
  <si>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</si>
  <si>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</si>
  <si>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</si>
  <si>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</si>
  <si>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</si>
  <si>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</si>
  <si>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</si>
  <si>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</si>
  <si>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Continuing value</t>
  </si>
  <si>
    <t>Present value of CV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</si>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</sst>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л_в_._-;\-* #,##0.00\ _л_в_._-;_-* &quot;-&quot;??\ _л_в_.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#,##0.0_);\(#,##0.0\)"/>
    <numFmt numFmtId="170" formatCode="_(* #,##0.0_);_(* \(#,##0.0\);_(* &quot;-&quot;?_);_(@_)"/>
    <numFmt numFmtId="171" formatCode="0.0"/>
    <numFmt numFmtId="172" formatCode="_(* #,##0.000_);_(* \(#,##0.000\);_(* &quot;-&quot;??_);_(@_)"/>
    <numFmt numFmtId="173" formatCode="_(* #,##0.0_);_(* \(#,##0.0\);_(* &quot;-&quot;?_);@_l"/>
    <numFmt numFmtId="174" formatCode="_(* #,##0.0_);_(* \(#,##0.0\);_(* &quot;-&quot;?_);@_)"/>
    <numFmt numFmtId="175" formatCode="_(* #,##0_);_(* \(#,##0\);_(* &quot;-&quot;?_);@_)"/>
    <numFmt numFmtId="176" formatCode="#,##0_);\(#,##0\)"/>
  </numFmts>
  <fonts count="37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4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1" fillId="0" borderId="0" applyNumberFormat="0" applyFill="0" applyBorder="0" applyAlignment="0" applyProtection="0"/>
  </cellStyleXfs>
  <cellXfs count="220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3" fillId="2" borderId="0" xfId="0" applyFont="1" applyFill="1" applyAlignment="1"/>
    <xf numFmtId="0" fontId="4" fillId="2" borderId="0" xfId="0" applyFont="1" applyFill="1" applyAlignment="1"/>
    <xf numFmtId="166" fontId="11" fillId="2" borderId="0" xfId="0" applyNumberFormat="1" applyFont="1" applyFill="1" applyAlignment="1"/>
    <xf numFmtId="0" fontId="11" fillId="2" borderId="0" xfId="0" applyFont="1" applyFill="1" applyBorder="1" applyAlignment="1"/>
    <xf numFmtId="0" fontId="0" fillId="2" borderId="0" xfId="0" applyFill="1" applyBorder="1" applyAlignment="1"/>
    <xf numFmtId="166" fontId="11" fillId="2" borderId="0" xfId="1" applyNumberFormat="1" applyFont="1" applyFill="1" applyBorder="1" applyAlignment="1"/>
    <xf numFmtId="0" fontId="10" fillId="2" borderId="0" xfId="0" applyFont="1" applyFill="1" applyAlignment="1"/>
    <xf numFmtId="10" fontId="11" fillId="2" borderId="0" xfId="0" applyNumberFormat="1" applyFont="1" applyFill="1" applyAlignment="1"/>
    <xf numFmtId="0" fontId="14" fillId="2" borderId="0" xfId="0" applyFont="1" applyFill="1" applyAlignment="1"/>
    <xf numFmtId="168" fontId="14" fillId="2" borderId="0" xfId="0" applyNumberFormat="1" applyFont="1" applyFill="1" applyAlignment="1"/>
    <xf numFmtId="0" fontId="14" fillId="2" borderId="1" xfId="0" applyFont="1" applyFill="1" applyBorder="1" applyAlignment="1"/>
    <xf numFmtId="172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3" fontId="16" fillId="6" borderId="0" xfId="0" applyNumberFormat="1" applyFont="1" applyFill="1" applyAlignment="1"/>
    <xf numFmtId="174" fontId="3" fillId="2" borderId="5" xfId="0" applyNumberFormat="1" applyFont="1" applyFill="1" applyBorder="1" applyAlignment="1"/>
    <xf numFmtId="174" fontId="3" fillId="2" borderId="1" xfId="0" applyNumberFormat="1" applyFont="1" applyFill="1" applyBorder="1" applyAlignment="1"/>
    <xf numFmtId="173" fontId="11" fillId="2" borderId="0" xfId="0" applyNumberFormat="1" applyFont="1" applyFill="1" applyAlignment="1"/>
    <xf numFmtId="173" fontId="10" fillId="2" borderId="0" xfId="0" applyNumberFormat="1" applyFont="1" applyFill="1" applyAlignment="1"/>
    <xf numFmtId="174" fontId="8" fillId="5" borderId="2" xfId="0" applyNumberFormat="1" applyFont="1" applyFill="1" applyBorder="1" applyAlignment="1"/>
    <xf numFmtId="173" fontId="4" fillId="2" borderId="0" xfId="0" applyNumberFormat="1" applyFont="1" applyFill="1" applyAlignment="1"/>
    <xf numFmtId="168" fontId="11" fillId="2" borderId="0" xfId="0" applyNumberFormat="1" applyFont="1" applyFill="1" applyAlignment="1">
      <alignment horizontal="right"/>
    </xf>
    <xf numFmtId="168" fontId="11" fillId="2" borderId="0" xfId="0" applyNumberFormat="1" applyFont="1" applyFill="1" applyAlignment="1"/>
    <xf numFmtId="9" fontId="11" fillId="2" borderId="0" xfId="0" applyNumberFormat="1" applyFont="1" applyFill="1" applyAlignment="1"/>
    <xf numFmtId="166" fontId="14" fillId="2" borderId="0" xfId="1" applyNumberFormat="1" applyFont="1" applyFill="1" applyBorder="1" applyAlignment="1"/>
    <xf numFmtId="174" fontId="18" fillId="2" borderId="0" xfId="0" applyNumberFormat="1" applyFont="1" applyFill="1" applyAlignment="1"/>
    <xf numFmtId="174" fontId="6" fillId="2" borderId="0" xfId="0" applyNumberFormat="1" applyFont="1" applyFill="1" applyAlignment="1"/>
    <xf numFmtId="174" fontId="19" fillId="2" borderId="0" xfId="0" applyNumberFormat="1" applyFont="1" applyFill="1" applyBorder="1" applyAlignment="1"/>
    <xf numFmtId="9" fontId="20" fillId="7" borderId="6" xfId="0" applyNumberFormat="1" applyFont="1" applyFill="1" applyBorder="1" applyAlignment="1">
      <alignment horizontal="center"/>
    </xf>
    <xf numFmtId="175" fontId="6" fillId="8" borderId="0" xfId="0" applyNumberFormat="1" applyFont="1" applyFill="1" applyAlignment="1"/>
    <xf numFmtId="174" fontId="19" fillId="2" borderId="5" xfId="0" applyNumberFormat="1" applyFont="1" applyFill="1" applyBorder="1" applyAlignment="1"/>
    <xf numFmtId="175" fontId="6" fillId="2" borderId="0" xfId="0" applyNumberFormat="1" applyFont="1" applyFill="1" applyAlignment="1"/>
    <xf numFmtId="175" fontId="19" fillId="2" borderId="5" xfId="0" applyNumberFormat="1" applyFont="1" applyFill="1" applyBorder="1" applyAlignment="1"/>
    <xf numFmtId="174" fontId="6" fillId="2" borderId="0" xfId="0" quotePrefix="1" applyNumberFormat="1" applyFont="1" applyFill="1" applyAlignment="1"/>
    <xf numFmtId="174" fontId="19" fillId="2" borderId="1" xfId="0" applyNumberFormat="1" applyFont="1" applyFill="1" applyBorder="1" applyAlignment="1"/>
    <xf numFmtId="175" fontId="6" fillId="8" borderId="1" xfId="0" applyNumberFormat="1" applyFont="1" applyFill="1" applyBorder="1" applyAlignment="1"/>
    <xf numFmtId="165" fontId="11" fillId="2" borderId="0" xfId="0" applyNumberFormat="1" applyFont="1" applyFill="1" applyAlignment="1"/>
    <xf numFmtId="168" fontId="6" fillId="2" borderId="0" xfId="2" applyNumberFormat="1" applyFont="1" applyFill="1" applyAlignment="1"/>
    <xf numFmtId="174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10" borderId="3" xfId="0" applyFont="1" applyFill="1" applyBorder="1" applyAlignment="1">
      <alignment horizontal="right" wrapText="1"/>
    </xf>
    <xf numFmtId="0" fontId="24" fillId="3" borderId="0" xfId="0" applyFont="1" applyFill="1" applyAlignment="1"/>
    <xf numFmtId="2" fontId="24" fillId="3" borderId="0" xfId="0" applyNumberFormat="1" applyFont="1" applyFill="1" applyAlignment="1"/>
    <xf numFmtId="0" fontId="25" fillId="3" borderId="0" xfId="0" applyFont="1" applyFill="1" applyAlignment="1"/>
    <xf numFmtId="0" fontId="16" fillId="3" borderId="0" xfId="0" applyFont="1" applyFill="1" applyAlignment="1"/>
    <xf numFmtId="0" fontId="26" fillId="3" borderId="0" xfId="0" applyFont="1" applyFill="1" applyAlignment="1"/>
    <xf numFmtId="175" fontId="4" fillId="2" borderId="0" xfId="0" applyNumberFormat="1" applyFont="1" applyFill="1" applyBorder="1" applyAlignment="1">
      <alignment horizontal="right" vertical="top"/>
    </xf>
    <xf numFmtId="175" fontId="4" fillId="10" borderId="0" xfId="0" applyNumberFormat="1" applyFont="1" applyFill="1" applyBorder="1" applyAlignment="1">
      <alignment horizontal="right" vertical="top"/>
    </xf>
    <xf numFmtId="175" fontId="4" fillId="2" borderId="0" xfId="0" applyNumberFormat="1" applyFont="1" applyFill="1" applyAlignment="1">
      <alignment horizontal="right" vertical="top"/>
    </xf>
    <xf numFmtId="175" fontId="4" fillId="10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 applyAlignment="1">
      <alignment horizontal="right" vertical="top"/>
    </xf>
    <xf numFmtId="175" fontId="3" fillId="10" borderId="1" xfId="0" applyNumberFormat="1" applyFont="1" applyFill="1" applyBorder="1" applyAlignment="1">
      <alignment horizontal="right" vertical="top"/>
    </xf>
    <xf numFmtId="175" fontId="3" fillId="2" borderId="2" xfId="0" applyNumberFormat="1" applyFont="1" applyFill="1" applyBorder="1" applyAlignment="1">
      <alignment horizontal="right" vertical="top"/>
    </xf>
    <xf numFmtId="175" fontId="3" fillId="10" borderId="2" xfId="0" applyNumberFormat="1" applyFont="1" applyFill="1" applyBorder="1" applyAlignment="1">
      <alignment horizontal="right" vertical="top"/>
    </xf>
    <xf numFmtId="9" fontId="15" fillId="3" borderId="0" xfId="2" applyFont="1" applyFill="1">
      <alignment vertical="top"/>
    </xf>
    <xf numFmtId="175" fontId="4" fillId="2" borderId="0" xfId="1" applyNumberFormat="1" applyFont="1" applyFill="1" applyAlignment="1">
      <alignment horizontal="right" vertical="top"/>
    </xf>
    <xf numFmtId="175" fontId="4" fillId="10" borderId="0" xfId="1" applyNumberFormat="1" applyFont="1" applyFill="1" applyAlignment="1">
      <alignment horizontal="right" vertical="top"/>
    </xf>
    <xf numFmtId="175" fontId="3" fillId="2" borderId="1" xfId="1" applyNumberFormat="1" applyFont="1" applyFill="1" applyBorder="1" applyAlignment="1">
      <alignment horizontal="right" vertical="top"/>
    </xf>
    <xf numFmtId="175" fontId="3" fillId="10" borderId="1" xfId="1" applyNumberFormat="1" applyFont="1" applyFill="1" applyBorder="1" applyAlignment="1">
      <alignment horizontal="right" vertical="top"/>
    </xf>
    <xf numFmtId="175" fontId="3" fillId="2" borderId="2" xfId="1" applyNumberFormat="1" applyFont="1" applyFill="1" applyBorder="1" applyAlignment="1">
      <alignment horizontal="right" vertical="top"/>
    </xf>
    <xf numFmtId="175" fontId="3" fillId="10" borderId="2" xfId="1" applyNumberFormat="1" applyFont="1" applyFill="1" applyBorder="1" applyAlignment="1">
      <alignment horizontal="right" vertical="top"/>
    </xf>
    <xf numFmtId="175" fontId="3" fillId="2" borderId="0" xfId="1" applyNumberFormat="1" applyFont="1" applyFill="1" applyAlignment="1">
      <alignment horizontal="right" vertical="top"/>
    </xf>
    <xf numFmtId="175" fontId="3" fillId="10" borderId="0" xfId="1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0" applyNumberFormat="1" applyFont="1" applyFill="1">
      <alignment vertical="top"/>
    </xf>
    <xf numFmtId="0" fontId="27" fillId="3" borderId="0" xfId="0" applyFont="1" applyFill="1">
      <alignment vertical="top"/>
    </xf>
    <xf numFmtId="0" fontId="15" fillId="3" borderId="0" xfId="0" applyFont="1" applyFill="1">
      <alignment vertical="top"/>
    </xf>
    <xf numFmtId="9" fontId="15" fillId="3" borderId="0" xfId="0" applyNumberFormat="1" applyFont="1" applyFill="1">
      <alignment vertical="top"/>
    </xf>
    <xf numFmtId="9" fontId="15" fillId="3" borderId="0" xfId="2" applyFont="1" applyFill="1" applyAlignment="1">
      <alignment horizontal="right" vertical="top"/>
    </xf>
    <xf numFmtId="0" fontId="15" fillId="3" borderId="0" xfId="0" applyFont="1" applyFill="1" applyAlignment="1">
      <alignment horizontal="right" vertical="top"/>
    </xf>
    <xf numFmtId="175" fontId="3" fillId="2" borderId="2" xfId="1" applyNumberFormat="1" applyFont="1" applyFill="1" applyBorder="1">
      <alignment vertical="top"/>
    </xf>
    <xf numFmtId="9" fontId="15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8" fillId="2" borderId="0" xfId="0" applyFont="1" applyFill="1">
      <alignment vertical="top"/>
    </xf>
    <xf numFmtId="0" fontId="29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5" fontId="3" fillId="2" borderId="1" xfId="0" applyNumberFormat="1" applyFont="1" applyFill="1" applyBorder="1">
      <alignment vertical="top"/>
    </xf>
    <xf numFmtId="175" fontId="3" fillId="10" borderId="1" xfId="0" applyNumberFormat="1" applyFont="1" applyFill="1" applyBorder="1">
      <alignment vertical="top"/>
    </xf>
    <xf numFmtId="0" fontId="32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5" fillId="3" borderId="0" xfId="0" applyFont="1" applyFill="1" applyAlignment="1"/>
    <xf numFmtId="168" fontId="15" fillId="3" borderId="0" xfId="2" applyNumberFormat="1" applyFont="1" applyFill="1">
      <alignment vertical="top"/>
    </xf>
    <xf numFmtId="168" fontId="15" fillId="3" borderId="0" xfId="0" applyNumberFormat="1" applyFont="1" applyFill="1" applyAlignment="1"/>
    <xf numFmtId="0" fontId="33" fillId="5" borderId="0" xfId="0" applyFont="1" applyFill="1" applyAlignment="1"/>
    <xf numFmtId="0" fontId="34" fillId="2" borderId="0" xfId="0" applyFont="1" applyFill="1" applyAlignment="1"/>
    <xf numFmtId="0" fontId="33" fillId="2" borderId="0" xfId="0" applyFont="1" applyFill="1" applyAlignment="1"/>
    <xf numFmtId="167" fontId="9" fillId="2" borderId="0" xfId="1" applyNumberFormat="1" applyFont="1" applyFill="1" applyAlignment="1"/>
    <xf numFmtId="167" fontId="11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9" fillId="2" borderId="0" xfId="0" applyNumberFormat="1" applyFont="1" applyFill="1" applyAlignment="1"/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5" fillId="3" borderId="0" xfId="1" applyNumberFormat="1" applyFont="1" applyFill="1">
      <alignment vertical="top"/>
    </xf>
    <xf numFmtId="169" fontId="4" fillId="10" borderId="0" xfId="1" applyNumberFormat="1" applyFont="1" applyFill="1">
      <alignment vertical="top"/>
    </xf>
    <xf numFmtId="176" fontId="4" fillId="2" borderId="0" xfId="0" applyNumberFormat="1" applyFont="1" applyFill="1">
      <alignment vertical="top"/>
    </xf>
    <xf numFmtId="176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6" fontId="11" fillId="10" borderId="0" xfId="1" applyNumberFormat="1" applyFont="1" applyFill="1" applyBorder="1" applyAlignment="1"/>
    <xf numFmtId="166" fontId="11" fillId="10" borderId="0" xfId="0" applyNumberFormat="1" applyFont="1" applyFill="1" applyAlignment="1"/>
    <xf numFmtId="168" fontId="11" fillId="10" borderId="0" xfId="0" applyNumberFormat="1" applyFont="1" applyFill="1" applyAlignment="1">
      <alignment horizontal="right"/>
    </xf>
    <xf numFmtId="168" fontId="11" fillId="10" borderId="0" xfId="0" applyNumberFormat="1" applyFont="1" applyFill="1" applyAlignment="1"/>
    <xf numFmtId="0" fontId="11" fillId="10" borderId="0" xfId="0" applyFont="1" applyFill="1" applyAlignment="1"/>
    <xf numFmtId="165" fontId="11" fillId="10" borderId="0" xfId="0" applyNumberFormat="1" applyFont="1" applyFill="1" applyAlignment="1"/>
    <xf numFmtId="175" fontId="6" fillId="10" borderId="0" xfId="0" applyNumberFormat="1" applyFont="1" applyFill="1" applyAlignment="1"/>
    <xf numFmtId="174" fontId="6" fillId="10" borderId="0" xfId="0" applyNumberFormat="1" applyFont="1" applyFill="1" applyAlignment="1"/>
    <xf numFmtId="168" fontId="6" fillId="10" borderId="0" xfId="1" applyNumberFormat="1" applyFont="1" applyFill="1" applyAlignment="1"/>
    <xf numFmtId="175" fontId="23" fillId="10" borderId="1" xfId="0" applyNumberFormat="1" applyFont="1" applyFill="1" applyBorder="1" applyAlignment="1"/>
    <xf numFmtId="166" fontId="11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4" fontId="3" fillId="2" borderId="5" xfId="0" applyNumberFormat="1" applyFont="1" applyFill="1" applyBorder="1" applyAlignment="1">
      <alignment horizontal="right"/>
    </xf>
    <xf numFmtId="174" fontId="3" fillId="2" borderId="1" xfId="0" applyNumberFormat="1" applyFont="1" applyFill="1" applyBorder="1" applyAlignment="1">
      <alignment horizontal="right"/>
    </xf>
    <xf numFmtId="166" fontId="17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11" fillId="2" borderId="0" xfId="1" applyNumberFormat="1" applyFont="1" applyFill="1" applyBorder="1" applyAlignment="1"/>
    <xf numFmtId="167" fontId="4" fillId="10" borderId="0" xfId="1" applyNumberFormat="1" applyFont="1" applyFill="1">
      <alignment vertical="top"/>
    </xf>
    <xf numFmtId="167" fontId="14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4" fillId="2" borderId="1" xfId="0" applyNumberFormat="1" applyFont="1" applyFill="1" applyBorder="1" applyAlignment="1"/>
    <xf numFmtId="167" fontId="11" fillId="10" borderId="0" xfId="1" applyNumberFormat="1" applyFont="1" applyFill="1" applyBorder="1" applyAlignment="1"/>
    <xf numFmtId="175" fontId="4" fillId="2" borderId="0" xfId="0" applyNumberFormat="1" applyFont="1" applyFill="1" applyBorder="1" applyAlignment="1">
      <alignment horizontal="right" vertical="center"/>
    </xf>
    <xf numFmtId="0" fontId="15" fillId="6" borderId="0" xfId="0" applyFont="1" applyFill="1" applyAlignment="1"/>
    <xf numFmtId="0" fontId="32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6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1" fontId="4" fillId="2" borderId="0" xfId="0" applyNumberFormat="1" applyFont="1" applyFill="1">
      <alignment vertical="top"/>
    </xf>
    <xf numFmtId="170" fontId="4" fillId="2" borderId="0" xfId="0" applyNumberFormat="1" applyFont="1" applyFill="1">
      <alignment vertical="top"/>
    </xf>
    <xf numFmtId="1" fontId="15" fillId="6" borderId="0" xfId="0" applyNumberFormat="1" applyFont="1" applyFill="1" applyAlignment="1"/>
    <xf numFmtId="167" fontId="15" fillId="6" borderId="0" xfId="0" applyNumberFormat="1" applyFont="1" applyFill="1" applyAlignment="1"/>
    <xf numFmtId="175" fontId="15" fillId="2" borderId="0" xfId="0" applyNumberFormat="1" applyFont="1" applyFill="1">
      <alignment vertical="top"/>
    </xf>
    <xf numFmtId="167" fontId="3" fillId="2" borderId="4" xfId="0" applyNumberFormat="1" applyFont="1" applyFill="1" applyBorder="1" applyAlignment="1">
      <alignment horizontal="right"/>
    </xf>
    <xf numFmtId="167" fontId="11" fillId="2" borderId="0" xfId="1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7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5" fillId="2" borderId="0" xfId="0" applyFont="1" applyFill="1">
      <alignment vertical="top"/>
    </xf>
    <xf numFmtId="168" fontId="35" fillId="2" borderId="0" xfId="2" applyNumberFormat="1" applyFont="1" applyFill="1">
      <alignment vertical="top"/>
    </xf>
    <xf numFmtId="168" fontId="35" fillId="4" borderId="0" xfId="1" applyNumberFormat="1" applyFont="1" applyFill="1">
      <alignment vertical="top"/>
    </xf>
    <xf numFmtId="168" fontId="35" fillId="10" borderId="0" xfId="1" applyNumberFormat="1" applyFont="1" applyFill="1">
      <alignment vertical="top"/>
    </xf>
    <xf numFmtId="166" fontId="14" fillId="10" borderId="0" xfId="1" applyNumberFormat="1" applyFont="1" applyFill="1" applyBorder="1" applyAlignment="1">
      <alignment horizontal="right"/>
    </xf>
    <xf numFmtId="166" fontId="11" fillId="10" borderId="0" xfId="0" applyNumberFormat="1" applyFont="1" applyFill="1" applyAlignment="1">
      <alignment horizontal="right"/>
    </xf>
    <xf numFmtId="166" fontId="11" fillId="10" borderId="0" xfId="1" applyNumberFormat="1" applyFont="1" applyFill="1" applyBorder="1" applyAlignment="1">
      <alignment horizontal="right"/>
    </xf>
    <xf numFmtId="167" fontId="4" fillId="4" borderId="0" xfId="1" applyNumberFormat="1" applyFont="1" applyFill="1">
      <alignment vertical="top"/>
    </xf>
    <xf numFmtId="167" fontId="4" fillId="4" borderId="0" xfId="1" applyNumberFormat="1" applyFont="1" applyFill="1" applyBorder="1">
      <alignment vertical="top"/>
    </xf>
    <xf numFmtId="167" fontId="4" fillId="10" borderId="0" xfId="1" applyNumberFormat="1" applyFont="1" applyFill="1" applyBorder="1">
      <alignment vertical="top"/>
    </xf>
    <xf numFmtId="167" fontId="3" fillId="2" borderId="0" xfId="0" applyNumberFormat="1" applyFont="1" applyFill="1">
      <alignment vertical="top"/>
    </xf>
    <xf numFmtId="167" fontId="3" fillId="4" borderId="0" xfId="1" applyNumberFormat="1" applyFont="1" applyFill="1">
      <alignment vertical="top"/>
    </xf>
    <xf numFmtId="167" fontId="3" fillId="10" borderId="0" xfId="1" applyNumberFormat="1" applyFont="1" applyFill="1">
      <alignment vertical="top"/>
    </xf>
    <xf numFmtId="164" fontId="11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1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3" fontId="24" fillId="6" borderId="0" xfId="0" applyNumberFormat="1" applyFont="1" applyFill="1" applyAlignment="1"/>
    <xf numFmtId="9" fontId="35" fillId="2" borderId="0" xfId="2" applyFont="1" applyFill="1">
      <alignment vertical="top"/>
    </xf>
    <xf numFmtId="0" fontId="36" fillId="2" borderId="0" xfId="0" applyFont="1" applyFill="1">
      <alignment vertical="top"/>
    </xf>
    <xf numFmtId="9" fontId="35" fillId="10" borderId="0" xfId="0" applyNumberFormat="1" applyFont="1" applyFill="1">
      <alignment vertical="top"/>
    </xf>
    <xf numFmtId="2" fontId="24" fillId="3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center" vertical="top"/>
    </xf>
    <xf numFmtId="0" fontId="22" fillId="9" borderId="0" xfId="3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195</v>
      </c>
      <c r="C9" s="101"/>
    </row>
    <row r="10" spans="2:3" ht="50.4" x14ac:dyDescent="0.25">
      <c r="B10" s="11" t="s">
        <v>196</v>
      </c>
      <c r="C10" s="10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273</v>
      </c>
    </row>
    <row r="2" spans="1:6" ht="15.6" x14ac:dyDescent="0.25">
      <c r="A2" s="1"/>
      <c r="B2" s="2"/>
    </row>
    <row r="3" spans="1:6" x14ac:dyDescent="0.25">
      <c r="B3" s="215" t="s">
        <v>199</v>
      </c>
    </row>
    <row r="5" spans="1:6" x14ac:dyDescent="0.25">
      <c r="F5" s="8" t="s">
        <v>201</v>
      </c>
    </row>
    <row r="6" spans="1:6" ht="12" x14ac:dyDescent="0.25">
      <c r="B6" s="36" t="s">
        <v>171</v>
      </c>
      <c r="C6" s="62" t="s">
        <v>198</v>
      </c>
      <c r="D6" s="62" t="s">
        <v>234</v>
      </c>
    </row>
    <row r="7" spans="1:6" x14ac:dyDescent="0.25">
      <c r="B7" s="8" t="s">
        <v>223</v>
      </c>
      <c r="C7" s="14">
        <v>9600340</v>
      </c>
      <c r="D7" s="14">
        <v>9600340</v>
      </c>
    </row>
    <row r="8" spans="1:6" x14ac:dyDescent="0.25">
      <c r="B8" s="8" t="s">
        <v>224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225</v>
      </c>
      <c r="C9" s="14">
        <v>4740000</v>
      </c>
      <c r="D9" s="14">
        <v>4740000</v>
      </c>
    </row>
    <row r="10" spans="1:6" x14ac:dyDescent="0.25">
      <c r="B10" s="8" t="s">
        <v>226</v>
      </c>
      <c r="C10" s="14">
        <v>2460000</v>
      </c>
      <c r="D10" s="14">
        <v>2460000</v>
      </c>
    </row>
    <row r="11" spans="1:6" x14ac:dyDescent="0.25">
      <c r="B11" s="8" t="s">
        <v>227</v>
      </c>
      <c r="C11" s="14">
        <v>10700000</v>
      </c>
      <c r="D11" s="14">
        <v>10700000</v>
      </c>
    </row>
    <row r="12" spans="1:6" x14ac:dyDescent="0.25">
      <c r="B12" s="129" t="s">
        <v>228</v>
      </c>
      <c r="C12" s="210" t="s">
        <v>65</v>
      </c>
      <c r="D12" s="210" t="s">
        <v>65</v>
      </c>
    </row>
    <row r="13" spans="1:6" x14ac:dyDescent="0.25">
      <c r="B13" s="129" t="s">
        <v>229</v>
      </c>
      <c r="C13" s="210" t="s">
        <v>65</v>
      </c>
      <c r="D13" s="210" t="s">
        <v>65</v>
      </c>
    </row>
    <row r="14" spans="1:6" x14ac:dyDescent="0.25">
      <c r="B14" s="129" t="s">
        <v>230</v>
      </c>
      <c r="C14" s="210" t="s">
        <v>65</v>
      </c>
      <c r="D14" s="210" t="s">
        <v>65</v>
      </c>
    </row>
    <row r="15" spans="1:6" x14ac:dyDescent="0.25">
      <c r="B15" s="129" t="s">
        <v>231</v>
      </c>
      <c r="C15" s="210" t="s">
        <v>65</v>
      </c>
      <c r="D15" s="210" t="s">
        <v>65</v>
      </c>
    </row>
    <row r="16" spans="1:6" x14ac:dyDescent="0.25">
      <c r="B16" s="129" t="s">
        <v>232</v>
      </c>
      <c r="C16" s="210" t="s">
        <v>65</v>
      </c>
      <c r="D16" s="210" t="s">
        <v>65</v>
      </c>
    </row>
    <row r="17" spans="2:4" x14ac:dyDescent="0.25">
      <c r="B17" s="129" t="s">
        <v>233</v>
      </c>
      <c r="C17" s="210" t="s">
        <v>65</v>
      </c>
      <c r="D17" s="210" t="s">
        <v>65</v>
      </c>
    </row>
    <row r="18" spans="2:4" ht="12" x14ac:dyDescent="0.25">
      <c r="B18" s="9" t="s">
        <v>198</v>
      </c>
      <c r="C18" s="212" t="s">
        <v>65</v>
      </c>
      <c r="D18" s="173">
        <f>AVERAGE(D7:D17)</f>
        <v>6821468</v>
      </c>
    </row>
    <row r="19" spans="2:4" x14ac:dyDescent="0.25">
      <c r="C19" s="211"/>
      <c r="D19" s="21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212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18" t="s">
        <v>216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20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  <c r="T4" s="62" t="s">
        <v>178</v>
      </c>
    </row>
    <row r="5" spans="1:20" ht="13.2" customHeight="1" x14ac:dyDescent="0.25">
      <c r="B5" s="8" t="s">
        <v>174</v>
      </c>
      <c r="C5" s="89"/>
      <c r="D5" s="89"/>
      <c r="E5" s="89"/>
      <c r="F5" s="166" t="s">
        <v>65</v>
      </c>
      <c r="G5" s="166" t="s">
        <v>65</v>
      </c>
      <c r="H5" s="90">
        <f>($T5*Deliveries!H5)/1000000</f>
        <v>4368</v>
      </c>
      <c r="I5" s="90">
        <f>($T5*Deliveries!I5)*I14/1000000</f>
        <v>5486.04</v>
      </c>
      <c r="J5" s="90">
        <f>($T5*Deliveries!J5)*J14/1000000</f>
        <v>10920</v>
      </c>
      <c r="K5" s="90">
        <f>($T5*Deliveries!K5)*K14/1000000</f>
        <v>17472</v>
      </c>
      <c r="L5" s="90">
        <f>($T5*Deliveries!L5)*L14/1000000</f>
        <v>19219.200000000004</v>
      </c>
      <c r="M5" s="90">
        <f>($T5*Deliveries!M5)*M14/1000000</f>
        <v>21141.120000000003</v>
      </c>
      <c r="N5" s="90">
        <f>($T5*Deliveries!N5)*N14/1000000</f>
        <v>22198.176000000003</v>
      </c>
      <c r="O5" s="90">
        <f>($T5*Deliveries!O5)*O14/1000000</f>
        <v>23308.084800000008</v>
      </c>
      <c r="P5" s="90">
        <f>($T5*Deliveries!P5)*P14/1000000</f>
        <v>23774.246496000003</v>
      </c>
      <c r="Q5" s="90">
        <f>($T5*Deliveries!Q5)*Q14/1000000</f>
        <v>24249.731425920007</v>
      </c>
      <c r="R5" s="90">
        <f>($T5*Deliveries!R5)*R14/1000000</f>
        <v>24734.726054438408</v>
      </c>
      <c r="S5" s="90">
        <f>($T5*Deliveries!S5)*S14/1000000</f>
        <v>25229.420575527176</v>
      </c>
      <c r="T5" s="88">
        <v>42000</v>
      </c>
    </row>
    <row r="6" spans="1:20" x14ac:dyDescent="0.25">
      <c r="B6" s="8" t="s">
        <v>180</v>
      </c>
      <c r="C6" s="89">
        <f>'P&amp;L Input'!C4/1000</f>
        <v>3007.0120000000002</v>
      </c>
      <c r="D6" s="89">
        <f>'P&amp;L Input'!D4/1000</f>
        <v>3740.973</v>
      </c>
      <c r="E6" s="89">
        <f>'P&amp;L Input'!E4/1000</f>
        <v>6350.7659999999996</v>
      </c>
      <c r="F6" s="166" t="s">
        <v>65</v>
      </c>
      <c r="G6" s="166" t="s">
        <v>65</v>
      </c>
      <c r="H6" s="90">
        <f>($T6*Deliveries!H6)/1000000</f>
        <v>4891.25</v>
      </c>
      <c r="I6" s="90">
        <f>($T6*Deliveries!I6)*I15/1000000</f>
        <v>8750</v>
      </c>
      <c r="J6" s="90">
        <f>($T6*Deliveries!J6)*J15/1000000</f>
        <v>8925</v>
      </c>
      <c r="K6" s="90">
        <f>($T6*Deliveries!K6)*K15/1000000</f>
        <v>9103.5</v>
      </c>
      <c r="L6" s="90">
        <f>($T6*Deliveries!L6)*L15/1000000</f>
        <v>9285.57</v>
      </c>
      <c r="M6" s="90">
        <f>($T6*Deliveries!M6)*M15/1000000</f>
        <v>9471.2813999999998</v>
      </c>
      <c r="N6" s="90">
        <f>($T6*Deliveries!N6)*N15/1000000</f>
        <v>9660.7070280000007</v>
      </c>
      <c r="O6" s="90">
        <f>($T6*Deliveries!O6)*O15/1000000</f>
        <v>9853.9211685600021</v>
      </c>
      <c r="P6" s="90">
        <f>($T6*Deliveries!P6)*P15/1000000</f>
        <v>10050.9995919312</v>
      </c>
      <c r="Q6" s="90">
        <f>($T6*Deliveries!Q6)*Q15/1000000</f>
        <v>10252.019583769825</v>
      </c>
      <c r="R6" s="90">
        <f>($T6*Deliveries!R6)*R15/1000000</f>
        <v>10457.059975445223</v>
      </c>
      <c r="S6" s="90">
        <f>($T6*Deliveries!S6)*S15/1000000</f>
        <v>10666.201174954127</v>
      </c>
      <c r="T6" s="88">
        <f>(84000+91000)/2</f>
        <v>87500</v>
      </c>
    </row>
    <row r="7" spans="1:20" x14ac:dyDescent="0.25">
      <c r="B7" s="8" t="s">
        <v>175</v>
      </c>
      <c r="C7" s="89">
        <f>($T7*Deliveries!C7)/1000000</f>
        <v>0</v>
      </c>
      <c r="D7" s="89">
        <f>($T7*Deliveries!D7)/1000000</f>
        <v>0</v>
      </c>
      <c r="E7" s="89">
        <f>($T7*Deliveries!E7)/1000000</f>
        <v>0</v>
      </c>
      <c r="F7" s="89">
        <f>($T7*Deliveries!F7)/1000000</f>
        <v>0</v>
      </c>
      <c r="G7" s="89">
        <f>($T7*Deliveries!G7)/1000000</f>
        <v>0</v>
      </c>
      <c r="H7" s="90">
        <f>($T7*Deliveries!H7)/1000000</f>
        <v>0</v>
      </c>
      <c r="I7" s="90">
        <f>($T7*Deliveries!I7)*I16/1000000</f>
        <v>0</v>
      </c>
      <c r="J7" s="90">
        <f>($T7*Deliveries!J7)*J16/1000000</f>
        <v>88.2</v>
      </c>
      <c r="K7" s="90">
        <f>($T7*Deliveries!K7)*K16/1000000</f>
        <v>6531</v>
      </c>
      <c r="L7" s="90">
        <f>($T7*Deliveries!L7)*L16/1000000</f>
        <v>13000</v>
      </c>
      <c r="M7" s="90">
        <f>($T7*Deliveries!M7)*M16/1000000</f>
        <v>20800</v>
      </c>
      <c r="N7" s="90">
        <f>($T7*Deliveries!N7)*N16/1000000</f>
        <v>22880.000000000004</v>
      </c>
      <c r="O7" s="90">
        <f>($T7*Deliveries!O7)*O16/1000000</f>
        <v>25168.000000000007</v>
      </c>
      <c r="P7" s="90">
        <f>($T7*Deliveries!P7)*P16/1000000</f>
        <v>26426.400000000009</v>
      </c>
      <c r="Q7" s="90">
        <f>($T7*Deliveries!Q7)*Q16/1000000</f>
        <v>27747.720000000008</v>
      </c>
      <c r="R7" s="90">
        <f>($T7*Deliveries!R7)*R16/1000000</f>
        <v>28302.674400000007</v>
      </c>
      <c r="S7" s="90">
        <f>($T7*Deliveries!S7)*S16/1000000</f>
        <v>28868.727888000005</v>
      </c>
      <c r="T7" s="88">
        <v>50000</v>
      </c>
    </row>
    <row r="8" spans="1:20" x14ac:dyDescent="0.25">
      <c r="B8" s="8" t="s">
        <v>177</v>
      </c>
      <c r="C8" s="89">
        <f>($T8*Deliveries!C8)/1000000</f>
        <v>0</v>
      </c>
      <c r="D8" s="89">
        <f>($T8*Deliveries!D8)/1000000</f>
        <v>0</v>
      </c>
      <c r="E8" s="89">
        <f>($T8*Deliveries!E8)/1000000</f>
        <v>0</v>
      </c>
      <c r="F8" s="89">
        <f>($T8*Deliveries!F8)/1000000</f>
        <v>0</v>
      </c>
      <c r="G8" s="89">
        <f>($T8*Deliveries!G8)/1000000</f>
        <v>0</v>
      </c>
      <c r="H8" s="90">
        <f>($T8*Deliveries!H8)/1000000</f>
        <v>0</v>
      </c>
      <c r="I8" s="90">
        <f>($T8*Deliveries!I8)*I17/1000000</f>
        <v>0</v>
      </c>
      <c r="J8" s="90">
        <f>($T8*Deliveries!J8)*J17/1000000</f>
        <v>0</v>
      </c>
      <c r="K8" s="90">
        <f>($T8*Deliveries!K8)*K17/1000000</f>
        <v>115</v>
      </c>
      <c r="L8" s="90">
        <f>($T8*Deliveries!L8)*L17/1000000</f>
        <v>230</v>
      </c>
      <c r="M8" s="90">
        <f>($T8*Deliveries!M8)*M17/1000000</f>
        <v>345</v>
      </c>
      <c r="N8" s="90">
        <f>($T8*Deliveries!N8)*N17/1000000</f>
        <v>379.50000000000006</v>
      </c>
      <c r="O8" s="90">
        <f>($T8*Deliveries!O8)*O17/1000000</f>
        <v>417.4500000000001</v>
      </c>
      <c r="P8" s="90">
        <f>($T8*Deliveries!P8)*P17/1000000</f>
        <v>438.3225000000001</v>
      </c>
      <c r="Q8" s="90">
        <f>($T8*Deliveries!Q8)*Q17/1000000</f>
        <v>460.23862500000013</v>
      </c>
      <c r="R8" s="90">
        <f>($T8*Deliveries!R8)*R17/1000000</f>
        <v>469.44339750000017</v>
      </c>
      <c r="S8" s="90">
        <f>($T8*Deliveries!S8)*S17/1000000</f>
        <v>478.83226545000019</v>
      </c>
      <c r="T8" s="88">
        <v>230000</v>
      </c>
    </row>
    <row r="9" spans="1:20" x14ac:dyDescent="0.25">
      <c r="B9" s="8" t="s">
        <v>176</v>
      </c>
      <c r="C9" s="89">
        <f>($T9*Deliveries!C9)/1000000</f>
        <v>0</v>
      </c>
      <c r="D9" s="89">
        <f>($T9*Deliveries!D9)/1000000</f>
        <v>0</v>
      </c>
      <c r="E9" s="89">
        <f>($T9*Deliveries!E9)/1000000</f>
        <v>0</v>
      </c>
      <c r="F9" s="89">
        <f>($T9*Deliveries!F9)/1000000</f>
        <v>0</v>
      </c>
      <c r="G9" s="89">
        <f>($T9*Deliveries!G9)/1000000</f>
        <v>0</v>
      </c>
      <c r="H9" s="90">
        <f>($T9*Deliveries!H9)/1000000</f>
        <v>0</v>
      </c>
      <c r="I9" s="90">
        <f>($T9*Deliveries!I9)*I18/1000000</f>
        <v>0</v>
      </c>
      <c r="J9" s="90">
        <f>($T9*Deliveries!J9)*J18/1000000</f>
        <v>15.75</v>
      </c>
      <c r="K9" s="90">
        <f>($T9*Deliveries!K9)*K18/1000000</f>
        <v>1166.25</v>
      </c>
      <c r="L9" s="90">
        <f>($T9*Deliveries!L9)*L18/1000000</f>
        <v>2321.4285714285716</v>
      </c>
      <c r="M9" s="90">
        <f>($T9*Deliveries!M9)*M18/1000000</f>
        <v>3714.2857142857151</v>
      </c>
      <c r="N9" s="90">
        <f>($T9*Deliveries!N9)*N18/1000000</f>
        <v>4085.7142857142867</v>
      </c>
      <c r="O9" s="90">
        <f>($T9*Deliveries!O9)*O18/1000000</f>
        <v>4494.2857142857165</v>
      </c>
      <c r="P9" s="90">
        <f>($T9*Deliveries!P9)*P18/1000000</f>
        <v>4719.0000000000018</v>
      </c>
      <c r="Q9" s="90">
        <f>($T9*Deliveries!Q9)*Q18/1000000</f>
        <v>4954.9500000000025</v>
      </c>
      <c r="R9" s="90">
        <f>($T9*Deliveries!R9)*R18/1000000</f>
        <v>5054.0490000000027</v>
      </c>
      <c r="S9" s="90">
        <f>($T9*Deliveries!S9)*S18/1000000</f>
        <v>5155.1299800000024</v>
      </c>
      <c r="T9" s="88">
        <v>63000</v>
      </c>
    </row>
    <row r="10" spans="1:20" x14ac:dyDescent="0.25">
      <c r="B10" s="8" t="s">
        <v>173</v>
      </c>
      <c r="C10" s="89">
        <f>($T10*Deliveries!C10)/1000000</f>
        <v>0</v>
      </c>
      <c r="D10" s="89">
        <f>($T10*Deliveries!D10)/1000000</f>
        <v>0</v>
      </c>
      <c r="E10" s="89">
        <f>($T10*Deliveries!E10)/1000000</f>
        <v>0</v>
      </c>
      <c r="F10" s="89">
        <f>($T10*Deliveries!F10)/1000000</f>
        <v>0</v>
      </c>
      <c r="G10" s="89">
        <f>($T10*Deliveries!G10)/1000000</f>
        <v>0</v>
      </c>
      <c r="H10" s="90">
        <f>($T10*Deliveries!H10)/1000000</f>
        <v>0</v>
      </c>
      <c r="I10" s="90">
        <f>($T10*Deliveries!I10)*I19/1000000</f>
        <v>0</v>
      </c>
      <c r="J10" s="90">
        <f>($T10*Deliveries!J10)*J19/1000000</f>
        <v>50</v>
      </c>
      <c r="K10" s="90">
        <f>($T10*Deliveries!K10)*K19/1000000</f>
        <v>3702.3809523809527</v>
      </c>
      <c r="L10" s="90">
        <f>($T10*Deliveries!L10)*L19/1000000</f>
        <v>7369.6145124716568</v>
      </c>
      <c r="M10" s="90">
        <f>($T10*Deliveries!M10)*M19/1000000</f>
        <v>11791.38321995465</v>
      </c>
      <c r="N10" s="90">
        <f>($T10*Deliveries!N10)*N19/1000000</f>
        <v>12970.521541950116</v>
      </c>
      <c r="O10" s="90">
        <f>($T10*Deliveries!O10)*O19/1000000</f>
        <v>14267.573696145129</v>
      </c>
      <c r="P10" s="90">
        <f>($T10*Deliveries!P10)*P19/1000000</f>
        <v>14980.952380952387</v>
      </c>
      <c r="Q10" s="90">
        <f>($T10*Deliveries!Q10)*Q19/1000000</f>
        <v>15730.000000000009</v>
      </c>
      <c r="R10" s="90">
        <f>($T10*Deliveries!R10)*R19/1000000</f>
        <v>16044.600000000009</v>
      </c>
      <c r="S10" s="90">
        <f>($T10*Deliveries!S10)*S19/1000000</f>
        <v>16365.492000000009</v>
      </c>
      <c r="T10" s="88">
        <v>200000</v>
      </c>
    </row>
    <row r="11" spans="1:20" ht="12.6" thickBot="1" x14ac:dyDescent="0.3">
      <c r="B11" s="116" t="s">
        <v>69</v>
      </c>
      <c r="C11" s="127">
        <f>SUM(C5:C10)</f>
        <v>3007.0120000000002</v>
      </c>
      <c r="D11" s="127">
        <f t="shared" ref="D11:N11" si="0">SUM(D5:D10)</f>
        <v>3740.973</v>
      </c>
      <c r="E11" s="127">
        <f t="shared" si="0"/>
        <v>6350.7659999999996</v>
      </c>
      <c r="F11" s="127">
        <f>'P&amp;L Input'!F4/1000</f>
        <v>9641.2999999999993</v>
      </c>
      <c r="G11" s="127">
        <f>'P&amp;L Input'!G4/1000</f>
        <v>6092.9979999999996</v>
      </c>
      <c r="H11" s="127">
        <f t="shared" si="0"/>
        <v>9259.25</v>
      </c>
      <c r="I11" s="127">
        <f t="shared" si="0"/>
        <v>14236.04</v>
      </c>
      <c r="J11" s="127">
        <f t="shared" si="0"/>
        <v>19998.95</v>
      </c>
      <c r="K11" s="127">
        <f t="shared" si="0"/>
        <v>38090.130952380954</v>
      </c>
      <c r="L11" s="127">
        <f t="shared" si="0"/>
        <v>51425.813083900233</v>
      </c>
      <c r="M11" s="127">
        <f t="shared" si="0"/>
        <v>67263.070334240372</v>
      </c>
      <c r="N11" s="127">
        <f t="shared" si="0"/>
        <v>72174.618855664419</v>
      </c>
      <c r="O11" s="127">
        <f t="shared" ref="O11:S11" si="1">SUM(O5:O10)</f>
        <v>77509.315378990868</v>
      </c>
      <c r="P11" s="127">
        <f t="shared" si="1"/>
        <v>80389.920968883598</v>
      </c>
      <c r="Q11" s="127">
        <f t="shared" si="1"/>
        <v>83394.659634689859</v>
      </c>
      <c r="R11" s="127">
        <f t="shared" si="1"/>
        <v>85062.552827383639</v>
      </c>
      <c r="S11" s="127">
        <f t="shared" si="1"/>
        <v>86763.803883931323</v>
      </c>
      <c r="T11" s="96"/>
    </row>
    <row r="12" spans="1:20" ht="3" customHeight="1" x14ac:dyDescent="0.25"/>
    <row r="13" spans="1:20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35"/>
    </row>
    <row r="14" spans="1:20" x14ac:dyDescent="0.25">
      <c r="B14" s="92" t="s">
        <v>174</v>
      </c>
      <c r="C14" s="95"/>
      <c r="D14" s="95"/>
      <c r="E14" s="95"/>
      <c r="F14" s="95"/>
      <c r="G14" s="92"/>
      <c r="H14" s="92"/>
      <c r="I14" s="94">
        <f>CHOOSE(Drivers!$C$3,'Revenue automotive'!I22,'Revenue automotive'!I30,'Revenue automotive'!I38)</f>
        <v>1</v>
      </c>
      <c r="J14" s="94">
        <f>CHOOSE(Drivers!$C$3,'Revenue automotive'!J22,'Revenue automotive'!J30,'Revenue automotive'!J38)</f>
        <v>1</v>
      </c>
      <c r="K14" s="94">
        <f>CHOOSE(Drivers!$C$3,'Revenue automotive'!K22,'Revenue automotive'!K30,'Revenue automotive'!K38)</f>
        <v>1</v>
      </c>
      <c r="L14" s="94">
        <f>CHOOSE(Drivers!$C$3,'Revenue automotive'!L22,'Revenue automotive'!L30,'Revenue automotive'!L38)</f>
        <v>1</v>
      </c>
      <c r="M14" s="94">
        <f>CHOOSE(Drivers!$C$3,'Revenue automotive'!M22,'Revenue automotive'!M30,'Revenue automotive'!M38)</f>
        <v>1</v>
      </c>
      <c r="N14" s="94">
        <f>CHOOSE(Drivers!$C$3,'Revenue automotive'!N22,'Revenue automotive'!N30,'Revenue automotive'!N38)</f>
        <v>1</v>
      </c>
      <c r="O14" s="94">
        <f>CHOOSE(Drivers!$C$3,'Revenue automotive'!O22,'Revenue automotive'!O30,'Revenue automotive'!O38)</f>
        <v>1</v>
      </c>
      <c r="P14" s="94">
        <f>CHOOSE(Drivers!$C$3,'Revenue automotive'!P22,'Revenue automotive'!P30,'Revenue automotive'!P38)</f>
        <v>1</v>
      </c>
      <c r="Q14" s="94">
        <f>CHOOSE(Drivers!$C$3,'Revenue automotive'!Q22,'Revenue automotive'!Q30,'Revenue automotive'!Q38)</f>
        <v>1</v>
      </c>
      <c r="R14" s="94">
        <f>CHOOSE(Drivers!$C$3,'Revenue automotive'!R22,'Revenue automotive'!R30,'Revenue automotive'!R38)</f>
        <v>1</v>
      </c>
      <c r="S14" s="94">
        <f>CHOOSE(Drivers!$C$3,'Revenue automotive'!S22,'Revenue automotive'!S30,'Revenue automotive'!S38)</f>
        <v>1</v>
      </c>
      <c r="T14" s="35"/>
    </row>
    <row r="15" spans="1:20" x14ac:dyDescent="0.25">
      <c r="B15" s="92" t="s">
        <v>180</v>
      </c>
      <c r="C15" s="95"/>
      <c r="D15" s="79"/>
      <c r="E15" s="79"/>
      <c r="F15" s="79"/>
      <c r="G15" s="92"/>
      <c r="H15" s="92"/>
      <c r="I15" s="94">
        <f>CHOOSE(Drivers!$C$3,'Revenue automotive'!I23,'Revenue automotive'!I31,'Revenue automotive'!I39)</f>
        <v>1</v>
      </c>
      <c r="J15" s="94">
        <f>CHOOSE(Drivers!$C$3,'Revenue automotive'!J23,'Revenue automotive'!J31,'Revenue automotive'!J39)</f>
        <v>1</v>
      </c>
      <c r="K15" s="94">
        <f>CHOOSE(Drivers!$C$3,'Revenue automotive'!K23,'Revenue automotive'!K31,'Revenue automotive'!K39)</f>
        <v>1</v>
      </c>
      <c r="L15" s="94">
        <f>CHOOSE(Drivers!$C$3,'Revenue automotive'!L23,'Revenue automotive'!L31,'Revenue automotive'!L39)</f>
        <v>1</v>
      </c>
      <c r="M15" s="94">
        <f>CHOOSE(Drivers!$C$3,'Revenue automotive'!M23,'Revenue automotive'!M31,'Revenue automotive'!M39)</f>
        <v>1</v>
      </c>
      <c r="N15" s="94">
        <f>CHOOSE(Drivers!$C$3,'Revenue automotive'!N23,'Revenue automotive'!N31,'Revenue automotive'!N39)</f>
        <v>1</v>
      </c>
      <c r="O15" s="94">
        <f>CHOOSE(Drivers!$C$3,'Revenue automotive'!O23,'Revenue automotive'!O31,'Revenue automotive'!O39)</f>
        <v>1</v>
      </c>
      <c r="P15" s="94">
        <f>CHOOSE(Drivers!$C$3,'Revenue automotive'!P23,'Revenue automotive'!P31,'Revenue automotive'!P39)</f>
        <v>1</v>
      </c>
      <c r="Q15" s="94">
        <f>CHOOSE(Drivers!$C$3,'Revenue automotive'!Q23,'Revenue automotive'!Q31,'Revenue automotive'!Q39)</f>
        <v>1</v>
      </c>
      <c r="R15" s="94">
        <f>CHOOSE(Drivers!$C$3,'Revenue automotive'!R23,'Revenue automotive'!R31,'Revenue automotive'!R39)</f>
        <v>1</v>
      </c>
      <c r="S15" s="94">
        <f>CHOOSE(Drivers!$C$3,'Revenue automotive'!S23,'Revenue automotive'!S31,'Revenue automotive'!S39)</f>
        <v>1</v>
      </c>
      <c r="T15" s="35"/>
    </row>
    <row r="16" spans="1:20" x14ac:dyDescent="0.25">
      <c r="B16" s="92" t="s">
        <v>175</v>
      </c>
      <c r="C16" s="95"/>
      <c r="D16" s="95"/>
      <c r="E16" s="95"/>
      <c r="F16" s="95"/>
      <c r="G16" s="92"/>
      <c r="H16" s="92"/>
      <c r="I16" s="94">
        <f>CHOOSE(Drivers!$C$3,'Revenue automotive'!I24,'Revenue automotive'!I32,'Revenue automotive'!I40)</f>
        <v>1</v>
      </c>
      <c r="J16" s="94">
        <f>CHOOSE(Drivers!$C$3,'Revenue automotive'!J24,'Revenue automotive'!J32,'Revenue automotive'!J40)</f>
        <v>1</v>
      </c>
      <c r="K16" s="94">
        <f>CHOOSE(Drivers!$C$3,'Revenue automotive'!K24,'Revenue automotive'!K32,'Revenue automotive'!K40)</f>
        <v>1</v>
      </c>
      <c r="L16" s="94">
        <f>CHOOSE(Drivers!$C$3,'Revenue automotive'!L24,'Revenue automotive'!L32,'Revenue automotive'!L40)</f>
        <v>1</v>
      </c>
      <c r="M16" s="94">
        <f>CHOOSE(Drivers!$C$3,'Revenue automotive'!M24,'Revenue automotive'!M32,'Revenue automotive'!M40)</f>
        <v>1</v>
      </c>
      <c r="N16" s="94">
        <f>CHOOSE(Drivers!$C$3,'Revenue automotive'!N24,'Revenue automotive'!N32,'Revenue automotive'!N40)</f>
        <v>1</v>
      </c>
      <c r="O16" s="94">
        <f>CHOOSE(Drivers!$C$3,'Revenue automotive'!O24,'Revenue automotive'!O32,'Revenue automotive'!O40)</f>
        <v>1</v>
      </c>
      <c r="P16" s="94">
        <f>CHOOSE(Drivers!$C$3,'Revenue automotive'!P24,'Revenue automotive'!P32,'Revenue automotive'!P40)</f>
        <v>1</v>
      </c>
      <c r="Q16" s="94">
        <f>CHOOSE(Drivers!$C$3,'Revenue automotive'!Q24,'Revenue automotive'!Q32,'Revenue automotive'!Q40)</f>
        <v>1</v>
      </c>
      <c r="R16" s="94">
        <f>CHOOSE(Drivers!$C$3,'Revenue automotive'!R24,'Revenue automotive'!R32,'Revenue automotive'!R40)</f>
        <v>1</v>
      </c>
      <c r="S16" s="94">
        <f>CHOOSE(Drivers!$C$3,'Revenue automotive'!S24,'Revenue automotive'!S32,'Revenue automotive'!S40)</f>
        <v>1</v>
      </c>
      <c r="T16" s="35"/>
    </row>
    <row r="17" spans="2:20" x14ac:dyDescent="0.25">
      <c r="B17" s="92" t="s">
        <v>177</v>
      </c>
      <c r="C17" s="95"/>
      <c r="D17" s="95"/>
      <c r="E17" s="95"/>
      <c r="F17" s="95"/>
      <c r="G17" s="92"/>
      <c r="H17" s="92"/>
      <c r="I17" s="94">
        <f>CHOOSE(Drivers!$C$3,'Revenue automotive'!I25,'Revenue automotive'!I33,'Revenue automotive'!I41)</f>
        <v>1</v>
      </c>
      <c r="J17" s="94">
        <f>CHOOSE(Drivers!$C$3,'Revenue automotive'!J25,'Revenue automotive'!J33,'Revenue automotive'!J41)</f>
        <v>1</v>
      </c>
      <c r="K17" s="94">
        <f>CHOOSE(Drivers!$C$3,'Revenue automotive'!K25,'Revenue automotive'!K33,'Revenue automotive'!K41)</f>
        <v>1</v>
      </c>
      <c r="L17" s="94">
        <f>CHOOSE(Drivers!$C$3,'Revenue automotive'!L25,'Revenue automotive'!L33,'Revenue automotive'!L41)</f>
        <v>1</v>
      </c>
      <c r="M17" s="94">
        <f>CHOOSE(Drivers!$C$3,'Revenue automotive'!M25,'Revenue automotive'!M33,'Revenue automotive'!M41)</f>
        <v>1</v>
      </c>
      <c r="N17" s="94">
        <f>CHOOSE(Drivers!$C$3,'Revenue automotive'!N25,'Revenue automotive'!N33,'Revenue automotive'!N41)</f>
        <v>1</v>
      </c>
      <c r="O17" s="94">
        <f>CHOOSE(Drivers!$C$3,'Revenue automotive'!O25,'Revenue automotive'!O33,'Revenue automotive'!O41)</f>
        <v>1</v>
      </c>
      <c r="P17" s="94">
        <f>CHOOSE(Drivers!$C$3,'Revenue automotive'!P25,'Revenue automotive'!P33,'Revenue automotive'!P41)</f>
        <v>1</v>
      </c>
      <c r="Q17" s="94">
        <f>CHOOSE(Drivers!$C$3,'Revenue automotive'!Q25,'Revenue automotive'!Q33,'Revenue automotive'!Q41)</f>
        <v>1</v>
      </c>
      <c r="R17" s="94">
        <f>CHOOSE(Drivers!$C$3,'Revenue automotive'!R25,'Revenue automotive'!R33,'Revenue automotive'!R41)</f>
        <v>1</v>
      </c>
      <c r="S17" s="94">
        <f>CHOOSE(Drivers!$C$3,'Revenue automotive'!S25,'Revenue automotive'!S33,'Revenue automotive'!S41)</f>
        <v>1</v>
      </c>
      <c r="T17" s="178"/>
    </row>
    <row r="18" spans="2:20" x14ac:dyDescent="0.25">
      <c r="B18" s="92" t="s">
        <v>176</v>
      </c>
      <c r="C18" s="95"/>
      <c r="D18" s="95"/>
      <c r="E18" s="95"/>
      <c r="F18" s="95"/>
      <c r="G18" s="92"/>
      <c r="H18" s="92"/>
      <c r="I18" s="94">
        <f>CHOOSE(Drivers!$C$3,'Revenue automotive'!I26,'Revenue automotive'!I34,'Revenue automotive'!I42)</f>
        <v>1</v>
      </c>
      <c r="J18" s="94">
        <f>CHOOSE(Drivers!$C$3,'Revenue automotive'!J26,'Revenue automotive'!J34,'Revenue automotive'!J42)</f>
        <v>1</v>
      </c>
      <c r="K18" s="94">
        <f>CHOOSE(Drivers!$C$3,'Revenue automotive'!K26,'Revenue automotive'!K34,'Revenue automotive'!K42)</f>
        <v>1</v>
      </c>
      <c r="L18" s="94">
        <f>CHOOSE(Drivers!$C$3,'Revenue automotive'!L26,'Revenue automotive'!L34,'Revenue automotive'!L42)</f>
        <v>1</v>
      </c>
      <c r="M18" s="94">
        <f>CHOOSE(Drivers!$C$3,'Revenue automotive'!M26,'Revenue automotive'!M34,'Revenue automotive'!M42)</f>
        <v>1</v>
      </c>
      <c r="N18" s="94">
        <f>CHOOSE(Drivers!$C$3,'Revenue automotive'!N26,'Revenue automotive'!N34,'Revenue automotive'!N42)</f>
        <v>1</v>
      </c>
      <c r="O18" s="94">
        <f>CHOOSE(Drivers!$C$3,'Revenue automotive'!O26,'Revenue automotive'!O34,'Revenue automotive'!O42)</f>
        <v>1</v>
      </c>
      <c r="P18" s="94">
        <f>CHOOSE(Drivers!$C$3,'Revenue automotive'!P26,'Revenue automotive'!P34,'Revenue automotive'!P42)</f>
        <v>1</v>
      </c>
      <c r="Q18" s="94">
        <f>CHOOSE(Drivers!$C$3,'Revenue automotive'!Q26,'Revenue automotive'!Q34,'Revenue automotive'!Q42)</f>
        <v>1</v>
      </c>
      <c r="R18" s="94">
        <f>CHOOSE(Drivers!$C$3,'Revenue automotive'!R26,'Revenue automotive'!R34,'Revenue automotive'!R42)</f>
        <v>1</v>
      </c>
      <c r="S18" s="94">
        <f>CHOOSE(Drivers!$C$3,'Revenue automotive'!S26,'Revenue automotive'!S34,'Revenue automotive'!S42)</f>
        <v>1</v>
      </c>
      <c r="T18" s="35"/>
    </row>
    <row r="19" spans="2:20" x14ac:dyDescent="0.25">
      <c r="B19" s="92" t="s">
        <v>173</v>
      </c>
      <c r="C19" s="95"/>
      <c r="D19" s="95"/>
      <c r="E19" s="95"/>
      <c r="F19" s="95"/>
      <c r="G19" s="92"/>
      <c r="H19" s="92"/>
      <c r="I19" s="94">
        <f>CHOOSE(Drivers!$C$3,'Revenue automotive'!I27,'Revenue automotive'!I35,'Revenue automotive'!I43)</f>
        <v>1</v>
      </c>
      <c r="J19" s="94">
        <f>CHOOSE(Drivers!$C$3,'Revenue automotive'!J27,'Revenue automotive'!J35,'Revenue automotive'!J43)</f>
        <v>1</v>
      </c>
      <c r="K19" s="94">
        <f>CHOOSE(Drivers!$C$3,'Revenue automotive'!K27,'Revenue automotive'!K35,'Revenue automotive'!K43)</f>
        <v>1</v>
      </c>
      <c r="L19" s="94">
        <f>CHOOSE(Drivers!$C$3,'Revenue automotive'!L27,'Revenue automotive'!L35,'Revenue automotive'!L43)</f>
        <v>1</v>
      </c>
      <c r="M19" s="94">
        <f>CHOOSE(Drivers!$C$3,'Revenue automotive'!M27,'Revenue automotive'!M35,'Revenue automotive'!M43)</f>
        <v>1</v>
      </c>
      <c r="N19" s="94">
        <f>CHOOSE(Drivers!$C$3,'Revenue automotive'!N27,'Revenue automotive'!N35,'Revenue automotive'!N43)</f>
        <v>1</v>
      </c>
      <c r="O19" s="94">
        <f>CHOOSE(Drivers!$C$3,'Revenue automotive'!O27,'Revenue automotive'!O35,'Revenue automotive'!O43)</f>
        <v>1</v>
      </c>
      <c r="P19" s="94">
        <f>CHOOSE(Drivers!$C$3,'Revenue automotive'!P27,'Revenue automotive'!P35,'Revenue automotive'!P43)</f>
        <v>1</v>
      </c>
      <c r="Q19" s="94">
        <f>CHOOSE(Drivers!$C$3,'Revenue automotive'!Q27,'Revenue automotive'!Q35,'Revenue automotive'!Q43)</f>
        <v>1</v>
      </c>
      <c r="R19" s="94">
        <f>CHOOSE(Drivers!$C$3,'Revenue automotive'!R27,'Revenue automotive'!R35,'Revenue automotive'!R43)</f>
        <v>1</v>
      </c>
      <c r="S19" s="94">
        <f>CHOOSE(Drivers!$C$3,'Revenue automotive'!S27,'Revenue automotive'!S35,'Revenue automotive'!S43)</f>
        <v>1</v>
      </c>
      <c r="T19" s="35"/>
    </row>
    <row r="20" spans="2:20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  <c r="T20" s="35"/>
    </row>
    <row r="21" spans="2:20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5"/>
    </row>
    <row r="22" spans="2:20" x14ac:dyDescent="0.25">
      <c r="B22" s="92" t="s">
        <v>174</v>
      </c>
      <c r="C22" s="95"/>
      <c r="D22" s="95"/>
      <c r="E22" s="95"/>
      <c r="F22" s="95"/>
      <c r="G22" s="92"/>
      <c r="H22" s="92"/>
      <c r="I22" s="94">
        <v>1.02</v>
      </c>
      <c r="J22" s="94">
        <v>1.02</v>
      </c>
      <c r="K22" s="94">
        <v>1.02</v>
      </c>
      <c r="L22" s="94">
        <v>1.02</v>
      </c>
      <c r="M22" s="94">
        <v>1.02</v>
      </c>
      <c r="N22" s="94">
        <v>1.02</v>
      </c>
      <c r="O22" s="94">
        <v>1.02</v>
      </c>
      <c r="P22" s="94">
        <v>1.02</v>
      </c>
      <c r="Q22" s="94">
        <v>1.02</v>
      </c>
      <c r="R22" s="94">
        <v>1.02</v>
      </c>
      <c r="S22" s="94">
        <v>1.02</v>
      </c>
      <c r="T22" s="35"/>
    </row>
    <row r="23" spans="2:20" x14ac:dyDescent="0.25">
      <c r="B23" s="92" t="s">
        <v>180</v>
      </c>
      <c r="C23" s="95"/>
      <c r="D23" s="79"/>
      <c r="E23" s="79"/>
      <c r="F23" s="79"/>
      <c r="G23" s="92"/>
      <c r="H23" s="92"/>
      <c r="I23" s="94">
        <v>1.02</v>
      </c>
      <c r="J23" s="94">
        <v>1.02</v>
      </c>
      <c r="K23" s="94">
        <v>1.02</v>
      </c>
      <c r="L23" s="94">
        <v>1.02</v>
      </c>
      <c r="M23" s="94">
        <v>1.02</v>
      </c>
      <c r="N23" s="94">
        <v>1.02</v>
      </c>
      <c r="O23" s="94">
        <v>1.02</v>
      </c>
      <c r="P23" s="94">
        <v>1.02</v>
      </c>
      <c r="Q23" s="94">
        <v>1.02</v>
      </c>
      <c r="R23" s="94">
        <v>1.02</v>
      </c>
      <c r="S23" s="94">
        <v>1.02</v>
      </c>
      <c r="T23" s="35"/>
    </row>
    <row r="24" spans="2:20" x14ac:dyDescent="0.25">
      <c r="B24" s="92" t="s">
        <v>175</v>
      </c>
      <c r="C24" s="95"/>
      <c r="D24" s="95"/>
      <c r="E24" s="95"/>
      <c r="F24" s="95"/>
      <c r="G24" s="92"/>
      <c r="H24" s="92"/>
      <c r="I24" s="94">
        <v>1.02</v>
      </c>
      <c r="J24" s="94">
        <v>1.02</v>
      </c>
      <c r="K24" s="94">
        <v>1.02</v>
      </c>
      <c r="L24" s="94">
        <v>1.02</v>
      </c>
      <c r="M24" s="94">
        <v>1.02</v>
      </c>
      <c r="N24" s="94">
        <v>1.02</v>
      </c>
      <c r="O24" s="94">
        <v>1.02</v>
      </c>
      <c r="P24" s="94">
        <v>1.02</v>
      </c>
      <c r="Q24" s="94">
        <v>1.02</v>
      </c>
      <c r="R24" s="94">
        <v>1.02</v>
      </c>
      <c r="S24" s="94">
        <v>1.02</v>
      </c>
      <c r="T24" s="35"/>
    </row>
    <row r="25" spans="2:20" x14ac:dyDescent="0.25">
      <c r="B25" s="92" t="s">
        <v>177</v>
      </c>
      <c r="C25" s="95"/>
      <c r="D25" s="95"/>
      <c r="E25" s="95"/>
      <c r="F25" s="95"/>
      <c r="G25" s="92"/>
      <c r="H25" s="92"/>
      <c r="I25" s="94">
        <v>1.02</v>
      </c>
      <c r="J25" s="94">
        <v>1.02</v>
      </c>
      <c r="K25" s="94">
        <v>1.02</v>
      </c>
      <c r="L25" s="94">
        <v>1.02</v>
      </c>
      <c r="M25" s="94">
        <v>1.02</v>
      </c>
      <c r="N25" s="94">
        <v>1.02</v>
      </c>
      <c r="O25" s="94">
        <v>1.02</v>
      </c>
      <c r="P25" s="94">
        <v>1.02</v>
      </c>
      <c r="Q25" s="94">
        <v>1.02</v>
      </c>
      <c r="R25" s="94">
        <v>1.02</v>
      </c>
      <c r="S25" s="94">
        <v>1.02</v>
      </c>
      <c r="T25" s="35"/>
    </row>
    <row r="26" spans="2:20" x14ac:dyDescent="0.25">
      <c r="B26" s="92" t="s">
        <v>176</v>
      </c>
      <c r="C26" s="95"/>
      <c r="D26" s="95"/>
      <c r="E26" s="95"/>
      <c r="F26" s="95"/>
      <c r="G26" s="92"/>
      <c r="H26" s="92"/>
      <c r="I26" s="94">
        <v>1.02</v>
      </c>
      <c r="J26" s="94">
        <v>1.02</v>
      </c>
      <c r="K26" s="94">
        <v>1.02</v>
      </c>
      <c r="L26" s="94">
        <v>1.02</v>
      </c>
      <c r="M26" s="94">
        <v>1.02</v>
      </c>
      <c r="N26" s="94">
        <v>1.02</v>
      </c>
      <c r="O26" s="94">
        <v>1.02</v>
      </c>
      <c r="P26" s="94">
        <v>1.02</v>
      </c>
      <c r="Q26" s="94">
        <v>1.02</v>
      </c>
      <c r="R26" s="94">
        <v>1.02</v>
      </c>
      <c r="S26" s="94">
        <v>1.02</v>
      </c>
      <c r="T26" s="35"/>
    </row>
    <row r="27" spans="2:20" x14ac:dyDescent="0.25">
      <c r="B27" s="92" t="s">
        <v>173</v>
      </c>
      <c r="C27" s="95"/>
      <c r="D27" s="95"/>
      <c r="E27" s="95"/>
      <c r="F27" s="95"/>
      <c r="G27" s="92"/>
      <c r="H27" s="92"/>
      <c r="I27" s="94">
        <v>1.02</v>
      </c>
      <c r="J27" s="94">
        <v>1.02</v>
      </c>
      <c r="K27" s="94">
        <v>1.02</v>
      </c>
      <c r="L27" s="94">
        <v>1.02</v>
      </c>
      <c r="M27" s="94">
        <v>1.02</v>
      </c>
      <c r="N27" s="94">
        <v>1.02</v>
      </c>
      <c r="O27" s="94">
        <v>1.02</v>
      </c>
      <c r="P27" s="94">
        <v>1.02</v>
      </c>
      <c r="Q27" s="94">
        <v>1.02</v>
      </c>
      <c r="R27" s="94">
        <v>1.02</v>
      </c>
      <c r="S27" s="94">
        <v>1.02</v>
      </c>
      <c r="T27" s="35"/>
    </row>
    <row r="28" spans="2:20" x14ac:dyDescent="0.25">
      <c r="B28" s="92"/>
      <c r="C28" s="95"/>
      <c r="D28" s="95"/>
      <c r="E28" s="95"/>
      <c r="F28" s="95"/>
      <c r="G28" s="92"/>
      <c r="H28" s="92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  <c r="T28" s="35"/>
    </row>
    <row r="29" spans="2:20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5"/>
    </row>
    <row r="30" spans="2:20" x14ac:dyDescent="0.25">
      <c r="B30" s="92" t="s">
        <v>174</v>
      </c>
      <c r="C30" s="95"/>
      <c r="D30" s="95"/>
      <c r="E30" s="95"/>
      <c r="F30" s="95"/>
      <c r="G30" s="92"/>
      <c r="H30" s="92"/>
      <c r="I30" s="94">
        <v>1</v>
      </c>
      <c r="J30" s="94">
        <v>1</v>
      </c>
      <c r="K30" s="94">
        <v>1</v>
      </c>
      <c r="L30" s="94">
        <v>1</v>
      </c>
      <c r="M30" s="94">
        <v>1</v>
      </c>
      <c r="N30" s="94">
        <v>1</v>
      </c>
      <c r="O30" s="94">
        <v>1</v>
      </c>
      <c r="P30" s="94">
        <v>1</v>
      </c>
      <c r="Q30" s="94">
        <v>1</v>
      </c>
      <c r="R30" s="94">
        <v>1</v>
      </c>
      <c r="S30" s="94">
        <v>1</v>
      </c>
      <c r="T30" s="35"/>
    </row>
    <row r="31" spans="2:20" x14ac:dyDescent="0.25">
      <c r="B31" s="92" t="s">
        <v>180</v>
      </c>
      <c r="C31" s="95"/>
      <c r="D31" s="79"/>
      <c r="E31" s="79"/>
      <c r="F31" s="79"/>
      <c r="G31" s="92"/>
      <c r="H31" s="92"/>
      <c r="I31" s="94">
        <v>1</v>
      </c>
      <c r="J31" s="94">
        <v>1</v>
      </c>
      <c r="K31" s="94">
        <v>1</v>
      </c>
      <c r="L31" s="94">
        <v>1</v>
      </c>
      <c r="M31" s="94">
        <v>1</v>
      </c>
      <c r="N31" s="94">
        <v>1</v>
      </c>
      <c r="O31" s="94">
        <v>1</v>
      </c>
      <c r="P31" s="94">
        <v>1</v>
      </c>
      <c r="Q31" s="94">
        <v>1</v>
      </c>
      <c r="R31" s="94">
        <v>1</v>
      </c>
      <c r="S31" s="94">
        <v>1</v>
      </c>
      <c r="T31" s="35"/>
    </row>
    <row r="32" spans="2:20" x14ac:dyDescent="0.25">
      <c r="B32" s="92" t="s">
        <v>175</v>
      </c>
      <c r="C32" s="95"/>
      <c r="D32" s="95"/>
      <c r="E32" s="95"/>
      <c r="F32" s="95"/>
      <c r="G32" s="92"/>
      <c r="H32" s="92"/>
      <c r="I32" s="94">
        <v>1</v>
      </c>
      <c r="J32" s="94">
        <v>1</v>
      </c>
      <c r="K32" s="94">
        <v>1</v>
      </c>
      <c r="L32" s="94">
        <v>1</v>
      </c>
      <c r="M32" s="94">
        <v>1</v>
      </c>
      <c r="N32" s="94">
        <v>1</v>
      </c>
      <c r="O32" s="94">
        <v>1</v>
      </c>
      <c r="P32" s="94">
        <v>1</v>
      </c>
      <c r="Q32" s="94">
        <v>1</v>
      </c>
      <c r="R32" s="94">
        <v>1</v>
      </c>
      <c r="S32" s="94">
        <v>1</v>
      </c>
      <c r="T32" s="35"/>
    </row>
    <row r="33" spans="2:20" x14ac:dyDescent="0.25">
      <c r="B33" s="92" t="s">
        <v>177</v>
      </c>
      <c r="C33" s="95"/>
      <c r="D33" s="95"/>
      <c r="E33" s="95"/>
      <c r="F33" s="95"/>
      <c r="G33" s="92"/>
      <c r="H33" s="92"/>
      <c r="I33" s="94">
        <v>1</v>
      </c>
      <c r="J33" s="94">
        <v>1</v>
      </c>
      <c r="K33" s="94">
        <v>1</v>
      </c>
      <c r="L33" s="94">
        <v>1</v>
      </c>
      <c r="M33" s="94">
        <v>1</v>
      </c>
      <c r="N33" s="94">
        <v>1</v>
      </c>
      <c r="O33" s="94">
        <v>1</v>
      </c>
      <c r="P33" s="94">
        <v>1</v>
      </c>
      <c r="Q33" s="94">
        <v>1</v>
      </c>
      <c r="R33" s="94">
        <v>1</v>
      </c>
      <c r="S33" s="94">
        <v>1</v>
      </c>
      <c r="T33" s="35"/>
    </row>
    <row r="34" spans="2:20" x14ac:dyDescent="0.25">
      <c r="B34" s="92" t="s">
        <v>176</v>
      </c>
      <c r="C34" s="95"/>
      <c r="D34" s="95"/>
      <c r="E34" s="95"/>
      <c r="F34" s="95"/>
      <c r="G34" s="92"/>
      <c r="H34" s="92"/>
      <c r="I34" s="94">
        <v>1</v>
      </c>
      <c r="J34" s="94">
        <v>1</v>
      </c>
      <c r="K34" s="94">
        <v>1</v>
      </c>
      <c r="L34" s="94">
        <v>1</v>
      </c>
      <c r="M34" s="94">
        <v>1</v>
      </c>
      <c r="N34" s="94">
        <v>1</v>
      </c>
      <c r="O34" s="94">
        <v>1</v>
      </c>
      <c r="P34" s="94">
        <v>1</v>
      </c>
      <c r="Q34" s="94">
        <v>1</v>
      </c>
      <c r="R34" s="94">
        <v>1</v>
      </c>
      <c r="S34" s="94">
        <v>1</v>
      </c>
      <c r="T34" s="35"/>
    </row>
    <row r="35" spans="2:20" x14ac:dyDescent="0.25">
      <c r="B35" s="92" t="s">
        <v>173</v>
      </c>
      <c r="C35" s="95"/>
      <c r="D35" s="95"/>
      <c r="E35" s="95"/>
      <c r="F35" s="95"/>
      <c r="G35" s="92"/>
      <c r="H35" s="92"/>
      <c r="I35" s="94">
        <v>1</v>
      </c>
      <c r="J35" s="94">
        <v>1</v>
      </c>
      <c r="K35" s="94">
        <v>1</v>
      </c>
      <c r="L35" s="94">
        <v>1</v>
      </c>
      <c r="M35" s="94">
        <v>1</v>
      </c>
      <c r="N35" s="94">
        <v>1</v>
      </c>
      <c r="O35" s="94">
        <v>1</v>
      </c>
      <c r="P35" s="94">
        <v>1</v>
      </c>
      <c r="Q35" s="94">
        <v>1</v>
      </c>
      <c r="R35" s="94">
        <v>1</v>
      </c>
      <c r="S35" s="94">
        <v>1</v>
      </c>
      <c r="T35" s="35"/>
    </row>
    <row r="36" spans="2:20" x14ac:dyDescent="0.25">
      <c r="B36" s="92"/>
      <c r="C36" s="95"/>
      <c r="D36" s="95"/>
      <c r="E36" s="95"/>
      <c r="F36" s="95"/>
      <c r="G36" s="92"/>
      <c r="H36" s="92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  <c r="T36" s="35"/>
    </row>
    <row r="37" spans="2:20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35"/>
    </row>
    <row r="38" spans="2:20" x14ac:dyDescent="0.25">
      <c r="B38" s="92" t="s">
        <v>174</v>
      </c>
      <c r="C38" s="95"/>
      <c r="D38" s="95"/>
      <c r="E38" s="95"/>
      <c r="F38" s="95"/>
      <c r="G38" s="92"/>
      <c r="H38" s="92"/>
      <c r="I38" s="94">
        <v>0.98</v>
      </c>
      <c r="J38" s="94">
        <v>0.98</v>
      </c>
      <c r="K38" s="94">
        <v>0.98</v>
      </c>
      <c r="L38" s="94">
        <v>0.98</v>
      </c>
      <c r="M38" s="94">
        <v>0.98</v>
      </c>
      <c r="N38" s="94">
        <v>0.98</v>
      </c>
      <c r="O38" s="94">
        <v>0.98</v>
      </c>
      <c r="P38" s="94">
        <v>0.98</v>
      </c>
      <c r="Q38" s="94">
        <v>0.98</v>
      </c>
      <c r="R38" s="94">
        <v>0.98</v>
      </c>
      <c r="S38" s="94">
        <v>0.98</v>
      </c>
      <c r="T38" s="35"/>
    </row>
    <row r="39" spans="2:20" x14ac:dyDescent="0.25">
      <c r="B39" s="92" t="s">
        <v>180</v>
      </c>
      <c r="C39" s="95"/>
      <c r="D39" s="79"/>
      <c r="E39" s="79"/>
      <c r="F39" s="79"/>
      <c r="G39" s="92"/>
      <c r="H39" s="92"/>
      <c r="I39" s="94">
        <v>0.98</v>
      </c>
      <c r="J39" s="94">
        <v>0.98</v>
      </c>
      <c r="K39" s="94">
        <v>0.98</v>
      </c>
      <c r="L39" s="94">
        <v>0.98</v>
      </c>
      <c r="M39" s="94">
        <v>0.98</v>
      </c>
      <c r="N39" s="94">
        <v>0.98</v>
      </c>
      <c r="O39" s="94">
        <v>0.98</v>
      </c>
      <c r="P39" s="94">
        <v>0.98</v>
      </c>
      <c r="Q39" s="94">
        <v>0.98</v>
      </c>
      <c r="R39" s="94">
        <v>0.98</v>
      </c>
      <c r="S39" s="94">
        <v>0.98</v>
      </c>
      <c r="T39" s="35"/>
    </row>
    <row r="40" spans="2:20" x14ac:dyDescent="0.25">
      <c r="B40" s="92" t="s">
        <v>175</v>
      </c>
      <c r="C40" s="95"/>
      <c r="D40" s="95"/>
      <c r="E40" s="95"/>
      <c r="F40" s="95"/>
      <c r="G40" s="92"/>
      <c r="H40" s="92"/>
      <c r="I40" s="94">
        <v>0.98</v>
      </c>
      <c r="J40" s="94">
        <v>0.98</v>
      </c>
      <c r="K40" s="94">
        <v>0.98</v>
      </c>
      <c r="L40" s="94">
        <v>0.98</v>
      </c>
      <c r="M40" s="94">
        <v>0.98</v>
      </c>
      <c r="N40" s="94">
        <v>0.98</v>
      </c>
      <c r="O40" s="94">
        <v>0.98</v>
      </c>
      <c r="P40" s="94">
        <v>0.98</v>
      </c>
      <c r="Q40" s="94">
        <v>0.98</v>
      </c>
      <c r="R40" s="94">
        <v>0.98</v>
      </c>
      <c r="S40" s="94">
        <v>0.98</v>
      </c>
      <c r="T40" s="35"/>
    </row>
    <row r="41" spans="2:20" x14ac:dyDescent="0.25">
      <c r="B41" s="92" t="s">
        <v>177</v>
      </c>
      <c r="C41" s="95"/>
      <c r="D41" s="95"/>
      <c r="E41" s="95"/>
      <c r="F41" s="95"/>
      <c r="G41" s="92"/>
      <c r="H41" s="92"/>
      <c r="I41" s="94">
        <v>0.98</v>
      </c>
      <c r="J41" s="94">
        <v>0.98</v>
      </c>
      <c r="K41" s="94">
        <v>0.98</v>
      </c>
      <c r="L41" s="94">
        <v>0.98</v>
      </c>
      <c r="M41" s="94">
        <v>0.98</v>
      </c>
      <c r="N41" s="94">
        <v>0.98</v>
      </c>
      <c r="O41" s="94">
        <v>0.98</v>
      </c>
      <c r="P41" s="94">
        <v>0.98</v>
      </c>
      <c r="Q41" s="94">
        <v>0.98</v>
      </c>
      <c r="R41" s="94">
        <v>0.98</v>
      </c>
      <c r="S41" s="94">
        <v>0.98</v>
      </c>
      <c r="T41" s="35"/>
    </row>
    <row r="42" spans="2:20" x14ac:dyDescent="0.25">
      <c r="B42" s="92" t="s">
        <v>176</v>
      </c>
      <c r="C42" s="95"/>
      <c r="D42" s="95"/>
      <c r="E42" s="95"/>
      <c r="F42" s="95"/>
      <c r="G42" s="92"/>
      <c r="H42" s="92"/>
      <c r="I42" s="94">
        <v>0.98</v>
      </c>
      <c r="J42" s="94">
        <v>0.98</v>
      </c>
      <c r="K42" s="94">
        <v>0.98</v>
      </c>
      <c r="L42" s="94">
        <v>0.98</v>
      </c>
      <c r="M42" s="94">
        <v>0.98</v>
      </c>
      <c r="N42" s="94">
        <v>0.98</v>
      </c>
      <c r="O42" s="94">
        <v>0.98</v>
      </c>
      <c r="P42" s="94">
        <v>0.98</v>
      </c>
      <c r="Q42" s="94">
        <v>0.98</v>
      </c>
      <c r="R42" s="94">
        <v>0.98</v>
      </c>
      <c r="S42" s="94">
        <v>0.98</v>
      </c>
      <c r="T42" s="35"/>
    </row>
    <row r="43" spans="2:20" x14ac:dyDescent="0.25">
      <c r="B43" s="92" t="s">
        <v>173</v>
      </c>
      <c r="C43" s="95"/>
      <c r="D43" s="95"/>
      <c r="E43" s="95"/>
      <c r="F43" s="95"/>
      <c r="G43" s="92"/>
      <c r="H43" s="92"/>
      <c r="I43" s="94">
        <v>0.98</v>
      </c>
      <c r="J43" s="94">
        <v>0.98</v>
      </c>
      <c r="K43" s="94">
        <v>0.98</v>
      </c>
      <c r="L43" s="94">
        <v>0.98</v>
      </c>
      <c r="M43" s="94">
        <v>0.98</v>
      </c>
      <c r="N43" s="94">
        <v>0.98</v>
      </c>
      <c r="O43" s="94">
        <v>0.98</v>
      </c>
      <c r="P43" s="94">
        <v>0.98</v>
      </c>
      <c r="Q43" s="94">
        <v>0.98</v>
      </c>
      <c r="R43" s="94">
        <v>0.98</v>
      </c>
      <c r="S43" s="94">
        <v>0.98</v>
      </c>
      <c r="T43" s="35"/>
    </row>
    <row r="44" spans="2:20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205</v>
      </c>
    </row>
    <row r="2" spans="1:8" ht="15.6" x14ac:dyDescent="0.25">
      <c r="A2" s="1"/>
      <c r="B2" s="2"/>
    </row>
    <row r="3" spans="1:8" ht="13.2" x14ac:dyDescent="0.25">
      <c r="A3" s="1"/>
      <c r="B3" s="102" t="s">
        <v>199</v>
      </c>
    </row>
    <row r="5" spans="1:8" ht="24" x14ac:dyDescent="0.25">
      <c r="B5" s="36" t="s">
        <v>171</v>
      </c>
      <c r="C5" s="36" t="s">
        <v>197</v>
      </c>
      <c r="D5" s="62" t="s">
        <v>202</v>
      </c>
      <c r="E5" s="62" t="s">
        <v>203</v>
      </c>
      <c r="F5" s="62" t="s">
        <v>204</v>
      </c>
      <c r="G5" s="99"/>
      <c r="H5" s="62" t="s">
        <v>198</v>
      </c>
    </row>
    <row r="6" spans="1:8" x14ac:dyDescent="0.25">
      <c r="B6" s="8" t="s">
        <v>174</v>
      </c>
      <c r="C6" s="8" t="s">
        <v>206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99"/>
      <c r="H6" s="104">
        <f t="shared" ref="H6:H11" si="0">AVERAGE(D6:F6)</f>
        <v>0.12377549275432535</v>
      </c>
    </row>
    <row r="7" spans="1:8" x14ac:dyDescent="0.25">
      <c r="B7" s="8" t="s">
        <v>180</v>
      </c>
      <c r="C7" s="8" t="s">
        <v>207</v>
      </c>
      <c r="D7" s="105">
        <v>0.184</v>
      </c>
      <c r="E7" s="105">
        <v>0.20799999999999999</v>
      </c>
      <c r="F7" s="105">
        <f>36335/196949</f>
        <v>0.18448938557697678</v>
      </c>
      <c r="G7" s="99"/>
      <c r="H7" s="104">
        <f t="shared" si="0"/>
        <v>0.19216312852565895</v>
      </c>
    </row>
    <row r="8" spans="1:8" x14ac:dyDescent="0.25">
      <c r="B8" s="8" t="s">
        <v>175</v>
      </c>
      <c r="C8" s="8" t="s">
        <v>207</v>
      </c>
      <c r="D8" s="105">
        <v>0.184</v>
      </c>
      <c r="E8" s="105">
        <v>0.20799999999999999</v>
      </c>
      <c r="F8" s="105">
        <f>36335/196949</f>
        <v>0.18448938557697678</v>
      </c>
      <c r="G8" s="99"/>
      <c r="H8" s="104">
        <f t="shared" si="0"/>
        <v>0.19216312852565895</v>
      </c>
    </row>
    <row r="9" spans="1:8" x14ac:dyDescent="0.25">
      <c r="B9" s="8" t="s">
        <v>177</v>
      </c>
      <c r="C9" s="8" t="s">
        <v>208</v>
      </c>
      <c r="D9" s="105">
        <f>(24339-15071)/24339</f>
        <v>0.38078803566292779</v>
      </c>
      <c r="E9" s="105">
        <f>6619/23491</f>
        <v>0.28176748541994806</v>
      </c>
      <c r="F9" s="105">
        <f>(3416890-1650860)/(3416890)</f>
        <v>0.51685304472780802</v>
      </c>
      <c r="G9" s="99"/>
      <c r="H9" s="104">
        <f t="shared" si="0"/>
        <v>0.39313618860356131</v>
      </c>
    </row>
    <row r="10" spans="1:8" x14ac:dyDescent="0.25">
      <c r="B10" s="8" t="s">
        <v>176</v>
      </c>
      <c r="C10" s="8" t="s">
        <v>206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99"/>
      <c r="H10" s="104">
        <f t="shared" si="0"/>
        <v>0.12377549275432535</v>
      </c>
    </row>
    <row r="11" spans="1:8" x14ac:dyDescent="0.25">
      <c r="B11" s="8" t="s">
        <v>173</v>
      </c>
      <c r="C11" s="8" t="s">
        <v>209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99"/>
      <c r="H11" s="104">
        <f t="shared" si="0"/>
        <v>0.19168817457726836</v>
      </c>
    </row>
    <row r="13" spans="1:8" x14ac:dyDescent="0.25">
      <c r="B13" s="8" t="s">
        <v>200</v>
      </c>
    </row>
    <row r="14" spans="1:8" x14ac:dyDescent="0.25">
      <c r="F14" s="8" t="s">
        <v>201</v>
      </c>
    </row>
    <row r="15" spans="1:8" ht="12" x14ac:dyDescent="0.25">
      <c r="B15" s="36" t="s">
        <v>171</v>
      </c>
      <c r="C15" s="36" t="s">
        <v>198</v>
      </c>
    </row>
    <row r="16" spans="1:8" x14ac:dyDescent="0.25">
      <c r="B16" s="8" t="s">
        <v>174</v>
      </c>
      <c r="C16" s="8" t="s">
        <v>65</v>
      </c>
    </row>
    <row r="17" spans="2:3" x14ac:dyDescent="0.25">
      <c r="B17" s="8" t="s">
        <v>180</v>
      </c>
      <c r="C17" s="103">
        <f>AVERAGE('P&amp;L Input'!C29:F29)</f>
        <v>0.25321088044477918</v>
      </c>
    </row>
    <row r="18" spans="2:3" x14ac:dyDescent="0.25">
      <c r="B18" s="8" t="s">
        <v>175</v>
      </c>
      <c r="C18" s="8" t="s">
        <v>65</v>
      </c>
    </row>
    <row r="19" spans="2:3" x14ac:dyDescent="0.25">
      <c r="B19" s="8" t="s">
        <v>177</v>
      </c>
      <c r="C19" s="8" t="s">
        <v>65</v>
      </c>
    </row>
    <row r="20" spans="2:3" x14ac:dyDescent="0.25">
      <c r="B20" s="8" t="s">
        <v>176</v>
      </c>
      <c r="C20" s="8" t="s">
        <v>65</v>
      </c>
    </row>
    <row r="21" spans="2:3" x14ac:dyDescent="0.25">
      <c r="B21" s="8" t="s">
        <v>173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18" t="s">
        <v>211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H14*'Revenue automotive'!H5</f>
        <v>540.65135235089315</v>
      </c>
      <c r="I5" s="74" t="s">
        <v>65</v>
      </c>
      <c r="J5" s="90">
        <f>J14*'Revenue automotive'!J5</f>
        <v>1351.6283808772328</v>
      </c>
      <c r="K5" s="90">
        <f>K14*'Revenue automotive'!K5</f>
        <v>2162.6054094035726</v>
      </c>
      <c r="L5" s="90">
        <f>L14*'Revenue automotive'!L5</f>
        <v>2378.8659503439303</v>
      </c>
      <c r="M5" s="90">
        <f>M14*'Revenue automotive'!M5</f>
        <v>2616.7525453783232</v>
      </c>
      <c r="N5" s="90">
        <f>N14*'Revenue automotive'!N5</f>
        <v>2747.5901726472393</v>
      </c>
      <c r="O5" s="90">
        <f>O14*'Revenue automotive'!O5</f>
        <v>2884.9696812796019</v>
      </c>
      <c r="P5" s="90">
        <f>P14*'Revenue automotive'!P5</f>
        <v>2942.6690749051932</v>
      </c>
      <c r="Q5" s="90">
        <f>Q14*'Revenue automotive'!Q5</f>
        <v>3001.5224564032974</v>
      </c>
      <c r="R5" s="90">
        <f>R14*'Revenue automotive'!R5</f>
        <v>3061.5529055313636</v>
      </c>
      <c r="S5" s="90">
        <f>S14*'Revenue automotive'!S5</f>
        <v>3122.7839636419908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H15*'Revenue automotive'!H6</f>
        <v>939.91790240112937</v>
      </c>
      <c r="I6" s="74" t="s">
        <v>65</v>
      </c>
      <c r="J6" s="90">
        <f>J15*'Revenue automotive'!J6</f>
        <v>1715.0559220915061</v>
      </c>
      <c r="K6" s="90">
        <f>K15*'Revenue automotive'!K6</f>
        <v>1749.3570405333362</v>
      </c>
      <c r="L6" s="90">
        <f>L15*'Revenue automotive'!L6</f>
        <v>1784.3441813440029</v>
      </c>
      <c r="M6" s="90">
        <f>M15*'Revenue automotive'!M6</f>
        <v>1820.0310649708831</v>
      </c>
      <c r="N6" s="90">
        <f>N15*'Revenue automotive'!N6</f>
        <v>1856.4316862703008</v>
      </c>
      <c r="O6" s="90">
        <f>O15*'Revenue automotive'!O6</f>
        <v>1893.560319995707</v>
      </c>
      <c r="P6" s="90">
        <f>P15*'Revenue automotive'!P6</f>
        <v>1931.4315263956209</v>
      </c>
      <c r="Q6" s="90">
        <f>Q15*'Revenue automotive'!Q6</f>
        <v>1970.0601569235334</v>
      </c>
      <c r="R6" s="90">
        <f>R15*'Revenue automotive'!R6</f>
        <v>2009.4613600620044</v>
      </c>
      <c r="S6" s="90">
        <f>S15*'Revenue automotive'!S6</f>
        <v>2049.6505872632442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G16*'Revenue automotive'!G7</f>
        <v>0</v>
      </c>
      <c r="H7" s="90">
        <f>H16*'Revenue automotive'!H7</f>
        <v>0</v>
      </c>
      <c r="I7" s="90">
        <f t="shared" ref="I7:I10" si="0">G7+H7</f>
        <v>0</v>
      </c>
      <c r="J7" s="90">
        <f>J16*'Revenue automotive'!J7</f>
        <v>16.948787935963121</v>
      </c>
      <c r="K7" s="90">
        <f>K16*'Revenue automotive'!K7</f>
        <v>1255.0173924010785</v>
      </c>
      <c r="L7" s="90">
        <f>L16*'Revenue automotive'!L7</f>
        <v>2498.1206708335662</v>
      </c>
      <c r="M7" s="90">
        <f>M16*'Revenue automotive'!M7</f>
        <v>3996.993073333706</v>
      </c>
      <c r="N7" s="90">
        <f>N16*'Revenue automotive'!N7</f>
        <v>4396.6923806670775</v>
      </c>
      <c r="O7" s="90">
        <f>O16*'Revenue automotive'!O7</f>
        <v>4836.3616187337857</v>
      </c>
      <c r="P7" s="90">
        <f>P16*'Revenue automotive'!P7</f>
        <v>5078.1796996704752</v>
      </c>
      <c r="Q7" s="90">
        <f>Q16*'Revenue automotive'!Q7</f>
        <v>5332.0886846539988</v>
      </c>
      <c r="R7" s="90">
        <f>R16*'Revenue automotive'!R7</f>
        <v>5438.7304583470786</v>
      </c>
      <c r="S7" s="90">
        <f>S16*'Revenue automotive'!S7</f>
        <v>5547.5050675140201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G17*'Revenue automotive'!G8</f>
        <v>0</v>
      </c>
      <c r="H8" s="90">
        <f>H17*'Revenue automotive'!H8</f>
        <v>0</v>
      </c>
      <c r="I8" s="90">
        <f t="shared" si="0"/>
        <v>0</v>
      </c>
      <c r="J8" s="90">
        <f>J17*'Revenue automotive'!J8</f>
        <v>0</v>
      </c>
      <c r="K8" s="90">
        <f>K17*'Revenue automotive'!K8</f>
        <v>45.210661689409548</v>
      </c>
      <c r="L8" s="90">
        <f>L17*'Revenue automotive'!L8</f>
        <v>90.421323378819096</v>
      </c>
      <c r="M8" s="90">
        <f>M17*'Revenue automotive'!M8</f>
        <v>135.63198506822866</v>
      </c>
      <c r="N8" s="90">
        <f>N17*'Revenue automotive'!N8</f>
        <v>149.19518357505154</v>
      </c>
      <c r="O8" s="90">
        <f>O17*'Revenue automotive'!O8</f>
        <v>164.1147019325567</v>
      </c>
      <c r="P8" s="90">
        <f>P17*'Revenue automotive'!P8</f>
        <v>172.32043702918455</v>
      </c>
      <c r="Q8" s="90">
        <f>Q17*'Revenue automotive'!Q8</f>
        <v>180.93645888064378</v>
      </c>
      <c r="R8" s="90">
        <f>R17*'Revenue automotive'!R8</f>
        <v>184.55518805825668</v>
      </c>
      <c r="S8" s="90">
        <f>S17*'Revenue automotive'!S8</f>
        <v>188.2462918194218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G18*'Revenue automotive'!G9</f>
        <v>0</v>
      </c>
      <c r="H9" s="90">
        <f>H18*'Revenue automotive'!H9</f>
        <v>0</v>
      </c>
      <c r="I9" s="90">
        <f t="shared" si="0"/>
        <v>0</v>
      </c>
      <c r="J9" s="90">
        <f>J18*'Revenue automotive'!J9</f>
        <v>1.9494640108806243</v>
      </c>
      <c r="K9" s="90">
        <f>K18*'Revenue automotive'!K9</f>
        <v>144.35316842473193</v>
      </c>
      <c r="L9" s="90">
        <f>L18*'Revenue automotive'!L9</f>
        <v>287.33596532254103</v>
      </c>
      <c r="M9" s="90">
        <f>M18*'Revenue automotive'!M9</f>
        <v>459.73754451606573</v>
      </c>
      <c r="N9" s="90">
        <f>N18*'Revenue automotive'!N9</f>
        <v>505.71129896767229</v>
      </c>
      <c r="O9" s="90">
        <f>O18*'Revenue automotive'!O9</f>
        <v>556.28242886443968</v>
      </c>
      <c r="P9" s="90">
        <f>P18*'Revenue automotive'!P9</f>
        <v>584.09655030766157</v>
      </c>
      <c r="Q9" s="90">
        <f>Q18*'Revenue automotive'!Q9</f>
        <v>613.30137782304473</v>
      </c>
      <c r="R9" s="90">
        <f>R18*'Revenue automotive'!R9</f>
        <v>625.56740537950566</v>
      </c>
      <c r="S9" s="90">
        <f>S18*'Revenue automotive'!S9</f>
        <v>638.0787534870957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G19*'Revenue automotive'!G10</f>
        <v>0</v>
      </c>
      <c r="H10" s="90">
        <f>H19*'Revenue automotive'!H10</f>
        <v>0</v>
      </c>
      <c r="I10" s="90">
        <f t="shared" si="0"/>
        <v>0</v>
      </c>
      <c r="J10" s="90">
        <f>J19*'Revenue automotive'!J10</f>
        <v>9.5844087288634174</v>
      </c>
      <c r="K10" s="90">
        <f>K19*'Revenue automotive'!K10</f>
        <v>709.7026463515532</v>
      </c>
      <c r="L10" s="90">
        <f>L19*'Revenue automotive'!L10</f>
        <v>1412.6679532338374</v>
      </c>
      <c r="M10" s="90">
        <f>M19*'Revenue automotive'!M10</f>
        <v>2260.2687251741399</v>
      </c>
      <c r="N10" s="90">
        <f>N19*'Revenue automotive'!N10</f>
        <v>2486.2955976915541</v>
      </c>
      <c r="O10" s="90">
        <f>O19*'Revenue automotive'!O10</f>
        <v>2734.9251574607097</v>
      </c>
      <c r="P10" s="90">
        <f>P19*'Revenue automotive'!P10</f>
        <v>2871.6714153337452</v>
      </c>
      <c r="Q10" s="90">
        <f>Q19*'Revenue automotive'!Q10</f>
        <v>3015.2549861004331</v>
      </c>
      <c r="R10" s="90">
        <f>R19*'Revenue automotive'!R10</f>
        <v>3075.5600858224416</v>
      </c>
      <c r="S10" s="90">
        <f>S19*'Revenue automotive'!S10</f>
        <v>3137.0712875388904</v>
      </c>
    </row>
    <row r="11" spans="1:19" ht="12.6" thickBot="1" x14ac:dyDescent="0.3">
      <c r="B11" s="116" t="s">
        <v>69</v>
      </c>
      <c r="C11" s="127">
        <f>('P&amp;L Input'!C4+'P&amp;L Input'!C8)/1000</f>
        <v>861.26300000000003</v>
      </c>
      <c r="D11" s="127">
        <f>('P&amp;L Input'!D4+'P&amp;L Input'!D8)/1000</f>
        <v>917.67100000000005</v>
      </c>
      <c r="E11" s="127">
        <f>('P&amp;L Input'!E4+'P&amp;L Input'!E8)/1000</f>
        <v>1600.6849999999999</v>
      </c>
      <c r="F11" s="127">
        <f>('P&amp;L Input'!F4+'P&amp;L Input'!F8)/1000</f>
        <v>2208.596</v>
      </c>
      <c r="G11" s="127">
        <f>('P&amp;L Input'!G4+'P&amp;L Input'!G8)/1000</f>
        <v>1230.451</v>
      </c>
      <c r="H11" s="127">
        <f t="shared" ref="H11:N11" si="1">SUM(H5:H10)</f>
        <v>1480.5692547520225</v>
      </c>
      <c r="I11" s="127">
        <f>G11+H11</f>
        <v>2711.0202547520225</v>
      </c>
      <c r="J11" s="127">
        <f t="shared" si="1"/>
        <v>3095.1669636444458</v>
      </c>
      <c r="K11" s="127">
        <f t="shared" si="1"/>
        <v>6066.2463188036818</v>
      </c>
      <c r="L11" s="127">
        <f t="shared" si="1"/>
        <v>8451.7560444566952</v>
      </c>
      <c r="M11" s="127">
        <f t="shared" si="1"/>
        <v>11289.414938441347</v>
      </c>
      <c r="N11" s="127">
        <f t="shared" si="1"/>
        <v>12141.916319818894</v>
      </c>
      <c r="O11" s="127">
        <f t="shared" ref="O11:S11" si="2">SUM(O5:O10)</f>
        <v>13070.213908266798</v>
      </c>
      <c r="P11" s="127">
        <f t="shared" si="2"/>
        <v>13580.36870364188</v>
      </c>
      <c r="Q11" s="127">
        <f t="shared" si="2"/>
        <v>14113.164120784952</v>
      </c>
      <c r="R11" s="127">
        <f t="shared" si="2"/>
        <v>14395.427403200651</v>
      </c>
      <c r="S11" s="127">
        <f t="shared" si="2"/>
        <v>14683.335951264664</v>
      </c>
    </row>
    <row r="12" spans="1:19" ht="3" customHeight="1" x14ac:dyDescent="0.25"/>
    <row r="13" spans="1:19" x14ac:dyDescent="0.25">
      <c r="B13" s="91" t="s">
        <v>75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x14ac:dyDescent="0.25">
      <c r="B14" s="92" t="s">
        <v>174</v>
      </c>
      <c r="C14" s="95"/>
      <c r="D14" s="95"/>
      <c r="E14" s="95"/>
      <c r="F14" s="95"/>
      <c r="G14" s="94">
        <f>CHOOSE(Drivers!$C$3,'GP automotive'!G22,'GP automotive'!G30,'GP automotive'!G38)</f>
        <v>0.12377549275432535</v>
      </c>
      <c r="H14" s="94">
        <f>CHOOSE(Drivers!$C$3,'GP automotive'!H22,'GP automotive'!H30,'GP automotive'!H38)</f>
        <v>0.12377549275432535</v>
      </c>
      <c r="I14" s="94">
        <f>CHOOSE(Drivers!$C$3,'GP automotive'!I22,'GP automotive'!I30,'GP automotive'!I38)</f>
        <v>0.12377549275432535</v>
      </c>
      <c r="J14" s="94">
        <f>CHOOSE(Drivers!$C$3,'GP automotive'!J22,'GP automotive'!J30,'GP automotive'!J38)</f>
        <v>0.12377549275432535</v>
      </c>
      <c r="K14" s="94">
        <f>CHOOSE(Drivers!$C$3,'GP automotive'!K22,'GP automotive'!K30,'GP automotive'!K38)</f>
        <v>0.12377549275432535</v>
      </c>
      <c r="L14" s="94">
        <f>CHOOSE(Drivers!$C$3,'GP automotive'!L22,'GP automotive'!L30,'GP automotive'!L38)</f>
        <v>0.12377549275432535</v>
      </c>
      <c r="M14" s="94">
        <f>CHOOSE(Drivers!$C$3,'GP automotive'!M22,'GP automotive'!M30,'GP automotive'!M38)</f>
        <v>0.12377549275432535</v>
      </c>
      <c r="N14" s="94">
        <f>CHOOSE(Drivers!$C$3,'GP automotive'!N22,'GP automotive'!N30,'GP automotive'!N38)</f>
        <v>0.12377549275432535</v>
      </c>
      <c r="O14" s="94">
        <f>CHOOSE(Drivers!$C$3,'GP automotive'!O22,'GP automotive'!O30,'GP automotive'!O38)</f>
        <v>0.12377549275432535</v>
      </c>
      <c r="P14" s="94">
        <f>CHOOSE(Drivers!$C$3,'GP automotive'!P22,'GP automotive'!P30,'GP automotive'!P38)</f>
        <v>0.12377549275432535</v>
      </c>
      <c r="Q14" s="94">
        <f>CHOOSE(Drivers!$C$3,'GP automotive'!Q22,'GP automotive'!Q30,'GP automotive'!Q38)</f>
        <v>0.12377549275432535</v>
      </c>
      <c r="R14" s="94">
        <f>CHOOSE(Drivers!$C$3,'GP automotive'!R22,'GP automotive'!R30,'GP automotive'!R38)</f>
        <v>0.12377549275432535</v>
      </c>
      <c r="S14" s="94">
        <f>CHOOSE(Drivers!$C$3,'GP automotive'!S22,'GP automotive'!S30,'GP automotive'!S38)</f>
        <v>0.12377549275432535</v>
      </c>
    </row>
    <row r="15" spans="1:19" x14ac:dyDescent="0.25">
      <c r="B15" s="92" t="s">
        <v>180</v>
      </c>
      <c r="C15" s="95"/>
      <c r="D15" s="79"/>
      <c r="E15" s="79"/>
      <c r="F15" s="79"/>
      <c r="G15" s="94">
        <f>CHOOSE(Drivers!$C$3,'GP automotive'!G23,'GP automotive'!G31,'GP automotive'!G39)</f>
        <v>0.19216312852565895</v>
      </c>
      <c r="H15" s="94">
        <f>CHOOSE(Drivers!$C$3,'GP automotive'!H23,'GP automotive'!H31,'GP automotive'!H39)</f>
        <v>0.19216312852565895</v>
      </c>
      <c r="I15" s="94">
        <f>CHOOSE(Drivers!$C$3,'GP automotive'!I23,'GP automotive'!I31,'GP automotive'!I39)</f>
        <v>0.19216312852565895</v>
      </c>
      <c r="J15" s="94">
        <f>CHOOSE(Drivers!$C$3,'GP automotive'!J23,'GP automotive'!J31,'GP automotive'!J39)</f>
        <v>0.19216312852565895</v>
      </c>
      <c r="K15" s="94">
        <f>CHOOSE(Drivers!$C$3,'GP automotive'!K23,'GP automotive'!K31,'GP automotive'!K39)</f>
        <v>0.19216312852565895</v>
      </c>
      <c r="L15" s="94">
        <f>CHOOSE(Drivers!$C$3,'GP automotive'!L23,'GP automotive'!L31,'GP automotive'!L39)</f>
        <v>0.19216312852565895</v>
      </c>
      <c r="M15" s="94">
        <f>CHOOSE(Drivers!$C$3,'GP automotive'!M23,'GP automotive'!M31,'GP automotive'!M39)</f>
        <v>0.19216312852565895</v>
      </c>
      <c r="N15" s="94">
        <f>CHOOSE(Drivers!$C$3,'GP automotive'!N23,'GP automotive'!N31,'GP automotive'!N39)</f>
        <v>0.19216312852565895</v>
      </c>
      <c r="O15" s="94">
        <f>CHOOSE(Drivers!$C$3,'GP automotive'!O23,'GP automotive'!O31,'GP automotive'!O39)</f>
        <v>0.19216312852565895</v>
      </c>
      <c r="P15" s="94">
        <f>CHOOSE(Drivers!$C$3,'GP automotive'!P23,'GP automotive'!P31,'GP automotive'!P39)</f>
        <v>0.19216312852565895</v>
      </c>
      <c r="Q15" s="94">
        <f>CHOOSE(Drivers!$C$3,'GP automotive'!Q23,'GP automotive'!Q31,'GP automotive'!Q39)</f>
        <v>0.19216312852565895</v>
      </c>
      <c r="R15" s="94">
        <f>CHOOSE(Drivers!$C$3,'GP automotive'!R23,'GP automotive'!R31,'GP automotive'!R39)</f>
        <v>0.19216312852565895</v>
      </c>
      <c r="S15" s="94">
        <f>CHOOSE(Drivers!$C$3,'GP automotive'!S23,'GP automotive'!S31,'GP automotive'!S39)</f>
        <v>0.19216312852565895</v>
      </c>
    </row>
    <row r="16" spans="1:19" x14ac:dyDescent="0.25">
      <c r="B16" s="92" t="s">
        <v>175</v>
      </c>
      <c r="C16" s="95"/>
      <c r="D16" s="95"/>
      <c r="E16" s="95"/>
      <c r="F16" s="95"/>
      <c r="G16" s="94">
        <f>CHOOSE(Drivers!$C$3,'GP automotive'!G24,'GP automotive'!G32,'GP automotive'!G40)</f>
        <v>0.19216312852565895</v>
      </c>
      <c r="H16" s="94">
        <f>CHOOSE(Drivers!$C$3,'GP automotive'!H24,'GP automotive'!H32,'GP automotive'!H40)</f>
        <v>0.19216312852565895</v>
      </c>
      <c r="I16" s="94">
        <f>CHOOSE(Drivers!$C$3,'GP automotive'!I24,'GP automotive'!I32,'GP automotive'!I40)</f>
        <v>0.19216312852565895</v>
      </c>
      <c r="J16" s="94">
        <f>CHOOSE(Drivers!$C$3,'GP automotive'!J24,'GP automotive'!J32,'GP automotive'!J40)</f>
        <v>0.19216312852565895</v>
      </c>
      <c r="K16" s="94">
        <f>CHOOSE(Drivers!$C$3,'GP automotive'!K24,'GP automotive'!K32,'GP automotive'!K40)</f>
        <v>0.19216312852565895</v>
      </c>
      <c r="L16" s="94">
        <f>CHOOSE(Drivers!$C$3,'GP automotive'!L24,'GP automotive'!L32,'GP automotive'!L40)</f>
        <v>0.19216312852565895</v>
      </c>
      <c r="M16" s="94">
        <f>CHOOSE(Drivers!$C$3,'GP automotive'!M24,'GP automotive'!M32,'GP automotive'!M40)</f>
        <v>0.19216312852565895</v>
      </c>
      <c r="N16" s="94">
        <f>CHOOSE(Drivers!$C$3,'GP automotive'!N24,'GP automotive'!N32,'GP automotive'!N40)</f>
        <v>0.19216312852565895</v>
      </c>
      <c r="O16" s="94">
        <f>CHOOSE(Drivers!$C$3,'GP automotive'!O24,'GP automotive'!O32,'GP automotive'!O40)</f>
        <v>0.19216312852565895</v>
      </c>
      <c r="P16" s="94">
        <f>CHOOSE(Drivers!$C$3,'GP automotive'!P24,'GP automotive'!P32,'GP automotive'!P40)</f>
        <v>0.19216312852565895</v>
      </c>
      <c r="Q16" s="94">
        <f>CHOOSE(Drivers!$C$3,'GP automotive'!Q24,'GP automotive'!Q32,'GP automotive'!Q40)</f>
        <v>0.19216312852565895</v>
      </c>
      <c r="R16" s="94">
        <f>CHOOSE(Drivers!$C$3,'GP automotive'!R24,'GP automotive'!R32,'GP automotive'!R40)</f>
        <v>0.19216312852565895</v>
      </c>
      <c r="S16" s="94">
        <f>CHOOSE(Drivers!$C$3,'GP automotive'!S24,'GP automotive'!S32,'GP automotive'!S40)</f>
        <v>0.19216312852565895</v>
      </c>
    </row>
    <row r="17" spans="2:19" x14ac:dyDescent="0.25">
      <c r="B17" s="92" t="s">
        <v>177</v>
      </c>
      <c r="C17" s="95"/>
      <c r="D17" s="95"/>
      <c r="E17" s="95"/>
      <c r="F17" s="95"/>
      <c r="G17" s="94">
        <f>CHOOSE(Drivers!$C$3,'GP automotive'!G25,'GP automotive'!G33,'GP automotive'!G41)</f>
        <v>0.39313618860356131</v>
      </c>
      <c r="H17" s="94">
        <f>CHOOSE(Drivers!$C$3,'GP automotive'!H25,'GP automotive'!H33,'GP automotive'!H41)</f>
        <v>0.39313618860356131</v>
      </c>
      <c r="I17" s="94">
        <f>CHOOSE(Drivers!$C$3,'GP automotive'!I25,'GP automotive'!I33,'GP automotive'!I41)</f>
        <v>0.39313618860356131</v>
      </c>
      <c r="J17" s="94">
        <f>CHOOSE(Drivers!$C$3,'GP automotive'!J25,'GP automotive'!J33,'GP automotive'!J41)</f>
        <v>0.39313618860356131</v>
      </c>
      <c r="K17" s="94">
        <f>CHOOSE(Drivers!$C$3,'GP automotive'!K25,'GP automotive'!K33,'GP automotive'!K41)</f>
        <v>0.39313618860356131</v>
      </c>
      <c r="L17" s="94">
        <f>CHOOSE(Drivers!$C$3,'GP automotive'!L25,'GP automotive'!L33,'GP automotive'!L41)</f>
        <v>0.39313618860356131</v>
      </c>
      <c r="M17" s="94">
        <f>CHOOSE(Drivers!$C$3,'GP automotive'!M25,'GP automotive'!M33,'GP automotive'!M41)</f>
        <v>0.39313618860356131</v>
      </c>
      <c r="N17" s="94">
        <f>CHOOSE(Drivers!$C$3,'GP automotive'!N25,'GP automotive'!N33,'GP automotive'!N41)</f>
        <v>0.39313618860356131</v>
      </c>
      <c r="O17" s="94">
        <f>CHOOSE(Drivers!$C$3,'GP automotive'!O25,'GP automotive'!O33,'GP automotive'!O41)</f>
        <v>0.39313618860356131</v>
      </c>
      <c r="P17" s="94">
        <f>CHOOSE(Drivers!$C$3,'GP automotive'!P25,'GP automotive'!P33,'GP automotive'!P41)</f>
        <v>0.39313618860356131</v>
      </c>
      <c r="Q17" s="94">
        <f>CHOOSE(Drivers!$C$3,'GP automotive'!Q25,'GP automotive'!Q33,'GP automotive'!Q41)</f>
        <v>0.39313618860356131</v>
      </c>
      <c r="R17" s="94">
        <f>CHOOSE(Drivers!$C$3,'GP automotive'!R25,'GP automotive'!R33,'GP automotive'!R41)</f>
        <v>0.39313618860356131</v>
      </c>
      <c r="S17" s="94">
        <f>CHOOSE(Drivers!$C$3,'GP automotive'!S25,'GP automotive'!S33,'GP automotive'!S41)</f>
        <v>0.39313618860356131</v>
      </c>
    </row>
    <row r="18" spans="2:19" x14ac:dyDescent="0.25">
      <c r="B18" s="92" t="s">
        <v>176</v>
      </c>
      <c r="C18" s="95"/>
      <c r="D18" s="95"/>
      <c r="E18" s="95"/>
      <c r="F18" s="95"/>
      <c r="G18" s="94">
        <f>CHOOSE(Drivers!$C$3,'GP automotive'!G26,'GP automotive'!G34,'GP automotive'!G42)</f>
        <v>0.12377549275432535</v>
      </c>
      <c r="H18" s="94">
        <f>CHOOSE(Drivers!$C$3,'GP automotive'!H26,'GP automotive'!H34,'GP automotive'!H42)</f>
        <v>0.12377549275432535</v>
      </c>
      <c r="I18" s="94">
        <f>CHOOSE(Drivers!$C$3,'GP automotive'!I26,'GP automotive'!I34,'GP automotive'!I42)</f>
        <v>0.12377549275432535</v>
      </c>
      <c r="J18" s="94">
        <f>CHOOSE(Drivers!$C$3,'GP automotive'!J26,'GP automotive'!J34,'GP automotive'!J42)</f>
        <v>0.12377549275432535</v>
      </c>
      <c r="K18" s="94">
        <f>CHOOSE(Drivers!$C$3,'GP automotive'!K26,'GP automotive'!K34,'GP automotive'!K42)</f>
        <v>0.12377549275432535</v>
      </c>
      <c r="L18" s="94">
        <f>CHOOSE(Drivers!$C$3,'GP automotive'!L26,'GP automotive'!L34,'GP automotive'!L42)</f>
        <v>0.12377549275432535</v>
      </c>
      <c r="M18" s="94">
        <f>CHOOSE(Drivers!$C$3,'GP automotive'!M26,'GP automotive'!M34,'GP automotive'!M42)</f>
        <v>0.12377549275432535</v>
      </c>
      <c r="N18" s="94">
        <f>CHOOSE(Drivers!$C$3,'GP automotive'!N26,'GP automotive'!N34,'GP automotive'!N42)</f>
        <v>0.12377549275432535</v>
      </c>
      <c r="O18" s="94">
        <f>CHOOSE(Drivers!$C$3,'GP automotive'!O26,'GP automotive'!O34,'GP automotive'!O42)</f>
        <v>0.12377549275432535</v>
      </c>
      <c r="P18" s="94">
        <f>CHOOSE(Drivers!$C$3,'GP automotive'!P26,'GP automotive'!P34,'GP automotive'!P42)</f>
        <v>0.12377549275432535</v>
      </c>
      <c r="Q18" s="94">
        <f>CHOOSE(Drivers!$C$3,'GP automotive'!Q26,'GP automotive'!Q34,'GP automotive'!Q42)</f>
        <v>0.12377549275432535</v>
      </c>
      <c r="R18" s="94">
        <f>CHOOSE(Drivers!$C$3,'GP automotive'!R26,'GP automotive'!R34,'GP automotive'!R42)</f>
        <v>0.12377549275432535</v>
      </c>
      <c r="S18" s="94">
        <f>CHOOSE(Drivers!$C$3,'GP automotive'!S26,'GP automotive'!S34,'GP automotive'!S42)</f>
        <v>0.12377549275432535</v>
      </c>
    </row>
    <row r="19" spans="2:19" x14ac:dyDescent="0.25">
      <c r="B19" s="92" t="s">
        <v>173</v>
      </c>
      <c r="C19" s="95"/>
      <c r="D19" s="95"/>
      <c r="E19" s="95"/>
      <c r="F19" s="95"/>
      <c r="G19" s="94">
        <f>CHOOSE(Drivers!$C$3,'GP automotive'!G27,'GP automotive'!G35,'GP automotive'!G43)</f>
        <v>0.19168817457726836</v>
      </c>
      <c r="H19" s="94">
        <f>CHOOSE(Drivers!$C$3,'GP automotive'!H27,'GP automotive'!H35,'GP automotive'!H43)</f>
        <v>0.19168817457726836</v>
      </c>
      <c r="I19" s="94">
        <f>CHOOSE(Drivers!$C$3,'GP automotive'!I27,'GP automotive'!I35,'GP automotive'!I43)</f>
        <v>0.19168817457726836</v>
      </c>
      <c r="J19" s="94">
        <f>CHOOSE(Drivers!$C$3,'GP automotive'!J27,'GP automotive'!J35,'GP automotive'!J43)</f>
        <v>0.19168817457726836</v>
      </c>
      <c r="K19" s="94">
        <f>CHOOSE(Drivers!$C$3,'GP automotive'!K27,'GP automotive'!K35,'GP automotive'!K43)</f>
        <v>0.19168817457726836</v>
      </c>
      <c r="L19" s="94">
        <f>CHOOSE(Drivers!$C$3,'GP automotive'!L27,'GP automotive'!L35,'GP automotive'!L43)</f>
        <v>0.19168817457726836</v>
      </c>
      <c r="M19" s="94">
        <f>CHOOSE(Drivers!$C$3,'GP automotive'!M27,'GP automotive'!M35,'GP automotive'!M43)</f>
        <v>0.19168817457726836</v>
      </c>
      <c r="N19" s="94">
        <f>CHOOSE(Drivers!$C$3,'GP automotive'!N27,'GP automotive'!N35,'GP automotive'!N43)</f>
        <v>0.19168817457726836</v>
      </c>
      <c r="O19" s="94">
        <f>CHOOSE(Drivers!$C$3,'GP automotive'!O27,'GP automotive'!O35,'GP automotive'!O43)</f>
        <v>0.19168817457726836</v>
      </c>
      <c r="P19" s="94">
        <f>CHOOSE(Drivers!$C$3,'GP automotive'!P27,'GP automotive'!P35,'GP automotive'!P43)</f>
        <v>0.19168817457726836</v>
      </c>
      <c r="Q19" s="94">
        <f>CHOOSE(Drivers!$C$3,'GP automotive'!Q27,'GP automotive'!Q35,'GP automotive'!Q43)</f>
        <v>0.19168817457726836</v>
      </c>
      <c r="R19" s="94">
        <f>CHOOSE(Drivers!$C$3,'GP automotive'!R27,'GP automotive'!R35,'GP automotive'!R43)</f>
        <v>0.19168817457726836</v>
      </c>
      <c r="S19" s="94">
        <f>CHOOSE(Drivers!$C$3,'GP automotive'!S27,'GP automotive'!S35,'GP automotive'!S43)</f>
        <v>0.19168817457726836</v>
      </c>
    </row>
    <row r="20" spans="2:19" x14ac:dyDescent="0.25">
      <c r="B20" s="92"/>
      <c r="C20" s="95"/>
      <c r="D20" s="95"/>
      <c r="E20" s="95"/>
      <c r="F20" s="95"/>
      <c r="G20" s="95"/>
      <c r="H20" s="95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71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174</v>
      </c>
      <c r="C22" s="95"/>
      <c r="D22" s="95"/>
      <c r="E22" s="95"/>
      <c r="F22" s="95"/>
      <c r="G22" s="94">
        <f>G30+1.5%</f>
        <v>0.13877549275432535</v>
      </c>
      <c r="H22" s="94">
        <f t="shared" ref="H22:S22" si="3">H30+1.5%</f>
        <v>0.13877549275432535</v>
      </c>
      <c r="I22" s="94">
        <f t="shared" si="3"/>
        <v>0.13877549275432535</v>
      </c>
      <c r="J22" s="94">
        <f t="shared" si="3"/>
        <v>0.13877549275432535</v>
      </c>
      <c r="K22" s="94">
        <f t="shared" si="3"/>
        <v>0.13877549275432535</v>
      </c>
      <c r="L22" s="94">
        <f t="shared" si="3"/>
        <v>0.13877549275432535</v>
      </c>
      <c r="M22" s="94">
        <f t="shared" si="3"/>
        <v>0.13877549275432535</v>
      </c>
      <c r="N22" s="94">
        <f t="shared" si="3"/>
        <v>0.13877549275432535</v>
      </c>
      <c r="O22" s="94">
        <f t="shared" si="3"/>
        <v>0.13877549275432535</v>
      </c>
      <c r="P22" s="94">
        <f t="shared" si="3"/>
        <v>0.13877549275432535</v>
      </c>
      <c r="Q22" s="94">
        <f t="shared" si="3"/>
        <v>0.13877549275432535</v>
      </c>
      <c r="R22" s="94">
        <f t="shared" si="3"/>
        <v>0.13877549275432535</v>
      </c>
      <c r="S22" s="94">
        <f t="shared" si="3"/>
        <v>0.13877549275432535</v>
      </c>
    </row>
    <row r="23" spans="2:19" x14ac:dyDescent="0.25">
      <c r="B23" s="92" t="s">
        <v>180</v>
      </c>
      <c r="C23" s="95"/>
      <c r="D23" s="79"/>
      <c r="E23" s="79"/>
      <c r="F23" s="79"/>
      <c r="G23" s="94">
        <f t="shared" ref="G23:S23" si="4">G31+1.5%</f>
        <v>0.20716312852565893</v>
      </c>
      <c r="H23" s="94">
        <f t="shared" si="4"/>
        <v>0.20716312852565893</v>
      </c>
      <c r="I23" s="94">
        <f t="shared" si="4"/>
        <v>0.20716312852565893</v>
      </c>
      <c r="J23" s="94">
        <f t="shared" si="4"/>
        <v>0.20716312852565893</v>
      </c>
      <c r="K23" s="94">
        <f t="shared" si="4"/>
        <v>0.20716312852565893</v>
      </c>
      <c r="L23" s="94">
        <f t="shared" si="4"/>
        <v>0.20716312852565893</v>
      </c>
      <c r="M23" s="94">
        <f t="shared" si="4"/>
        <v>0.20716312852565893</v>
      </c>
      <c r="N23" s="94">
        <f t="shared" si="4"/>
        <v>0.20716312852565893</v>
      </c>
      <c r="O23" s="94">
        <f t="shared" si="4"/>
        <v>0.20716312852565893</v>
      </c>
      <c r="P23" s="94">
        <f t="shared" si="4"/>
        <v>0.20716312852565893</v>
      </c>
      <c r="Q23" s="94">
        <f t="shared" si="4"/>
        <v>0.20716312852565893</v>
      </c>
      <c r="R23" s="94">
        <f t="shared" si="4"/>
        <v>0.20716312852565893</v>
      </c>
      <c r="S23" s="94">
        <f t="shared" si="4"/>
        <v>0.20716312852565893</v>
      </c>
    </row>
    <row r="24" spans="2:19" x14ac:dyDescent="0.25">
      <c r="B24" s="92" t="s">
        <v>175</v>
      </c>
      <c r="C24" s="95"/>
      <c r="D24" s="95"/>
      <c r="E24" s="95"/>
      <c r="F24" s="95"/>
      <c r="G24" s="94">
        <f t="shared" ref="G24:S24" si="5">G32+1.5%</f>
        <v>0.20716312852565893</v>
      </c>
      <c r="H24" s="94">
        <f t="shared" si="5"/>
        <v>0.20716312852565893</v>
      </c>
      <c r="I24" s="94">
        <f t="shared" si="5"/>
        <v>0.20716312852565893</v>
      </c>
      <c r="J24" s="94">
        <f t="shared" si="5"/>
        <v>0.20716312852565893</v>
      </c>
      <c r="K24" s="94">
        <f t="shared" si="5"/>
        <v>0.20716312852565893</v>
      </c>
      <c r="L24" s="94">
        <f t="shared" si="5"/>
        <v>0.20716312852565893</v>
      </c>
      <c r="M24" s="94">
        <f t="shared" si="5"/>
        <v>0.20716312852565893</v>
      </c>
      <c r="N24" s="94">
        <f t="shared" si="5"/>
        <v>0.20716312852565893</v>
      </c>
      <c r="O24" s="94">
        <f t="shared" si="5"/>
        <v>0.20716312852565893</v>
      </c>
      <c r="P24" s="94">
        <f t="shared" si="5"/>
        <v>0.20716312852565893</v>
      </c>
      <c r="Q24" s="94">
        <f t="shared" si="5"/>
        <v>0.20716312852565893</v>
      </c>
      <c r="R24" s="94">
        <f t="shared" si="5"/>
        <v>0.20716312852565893</v>
      </c>
      <c r="S24" s="94">
        <f t="shared" si="5"/>
        <v>0.20716312852565893</v>
      </c>
    </row>
    <row r="25" spans="2:19" x14ac:dyDescent="0.25">
      <c r="B25" s="92" t="s">
        <v>177</v>
      </c>
      <c r="C25" s="95"/>
      <c r="D25" s="95"/>
      <c r="E25" s="95"/>
      <c r="F25" s="95"/>
      <c r="G25" s="94">
        <f t="shared" ref="G25:S25" si="6">G33+1.5%</f>
        <v>0.40813618860356132</v>
      </c>
      <c r="H25" s="94">
        <f t="shared" si="6"/>
        <v>0.40813618860356132</v>
      </c>
      <c r="I25" s="94">
        <f t="shared" si="6"/>
        <v>0.40813618860356132</v>
      </c>
      <c r="J25" s="94">
        <f t="shared" si="6"/>
        <v>0.40813618860356132</v>
      </c>
      <c r="K25" s="94">
        <f t="shared" si="6"/>
        <v>0.40813618860356132</v>
      </c>
      <c r="L25" s="94">
        <f t="shared" si="6"/>
        <v>0.40813618860356132</v>
      </c>
      <c r="M25" s="94">
        <f t="shared" si="6"/>
        <v>0.40813618860356132</v>
      </c>
      <c r="N25" s="94">
        <f t="shared" si="6"/>
        <v>0.40813618860356132</v>
      </c>
      <c r="O25" s="94">
        <f t="shared" si="6"/>
        <v>0.40813618860356132</v>
      </c>
      <c r="P25" s="94">
        <f t="shared" si="6"/>
        <v>0.40813618860356132</v>
      </c>
      <c r="Q25" s="94">
        <f t="shared" si="6"/>
        <v>0.40813618860356132</v>
      </c>
      <c r="R25" s="94">
        <f t="shared" si="6"/>
        <v>0.40813618860356132</v>
      </c>
      <c r="S25" s="94">
        <f t="shared" si="6"/>
        <v>0.40813618860356132</v>
      </c>
    </row>
    <row r="26" spans="2:19" x14ac:dyDescent="0.25">
      <c r="B26" s="92" t="s">
        <v>176</v>
      </c>
      <c r="C26" s="95"/>
      <c r="D26" s="95"/>
      <c r="E26" s="95"/>
      <c r="F26" s="95"/>
      <c r="G26" s="94">
        <f t="shared" ref="G26:S26" si="7">G34+1.5%</f>
        <v>0.13877549275432535</v>
      </c>
      <c r="H26" s="94">
        <f t="shared" si="7"/>
        <v>0.13877549275432535</v>
      </c>
      <c r="I26" s="94">
        <f t="shared" si="7"/>
        <v>0.13877549275432535</v>
      </c>
      <c r="J26" s="94">
        <f t="shared" si="7"/>
        <v>0.13877549275432535</v>
      </c>
      <c r="K26" s="94">
        <f t="shared" si="7"/>
        <v>0.13877549275432535</v>
      </c>
      <c r="L26" s="94">
        <f t="shared" si="7"/>
        <v>0.13877549275432535</v>
      </c>
      <c r="M26" s="94">
        <f t="shared" si="7"/>
        <v>0.13877549275432535</v>
      </c>
      <c r="N26" s="94">
        <f t="shared" si="7"/>
        <v>0.13877549275432535</v>
      </c>
      <c r="O26" s="94">
        <f t="shared" si="7"/>
        <v>0.13877549275432535</v>
      </c>
      <c r="P26" s="94">
        <f t="shared" si="7"/>
        <v>0.13877549275432535</v>
      </c>
      <c r="Q26" s="94">
        <f t="shared" si="7"/>
        <v>0.13877549275432535</v>
      </c>
      <c r="R26" s="94">
        <f t="shared" si="7"/>
        <v>0.13877549275432535</v>
      </c>
      <c r="S26" s="94">
        <f t="shared" si="7"/>
        <v>0.13877549275432535</v>
      </c>
    </row>
    <row r="27" spans="2:19" x14ac:dyDescent="0.25">
      <c r="B27" s="92" t="s">
        <v>173</v>
      </c>
      <c r="C27" s="95"/>
      <c r="D27" s="95"/>
      <c r="E27" s="95"/>
      <c r="F27" s="95"/>
      <c r="G27" s="94">
        <f t="shared" ref="G27:S27" si="8">G35+1.5%</f>
        <v>0.20668817457726835</v>
      </c>
      <c r="H27" s="94">
        <f t="shared" si="8"/>
        <v>0.20668817457726835</v>
      </c>
      <c r="I27" s="94">
        <f t="shared" si="8"/>
        <v>0.20668817457726835</v>
      </c>
      <c r="J27" s="94">
        <f t="shared" si="8"/>
        <v>0.20668817457726835</v>
      </c>
      <c r="K27" s="94">
        <f t="shared" si="8"/>
        <v>0.20668817457726835</v>
      </c>
      <c r="L27" s="94">
        <f t="shared" si="8"/>
        <v>0.20668817457726835</v>
      </c>
      <c r="M27" s="94">
        <f t="shared" si="8"/>
        <v>0.20668817457726835</v>
      </c>
      <c r="N27" s="94">
        <f t="shared" si="8"/>
        <v>0.20668817457726835</v>
      </c>
      <c r="O27" s="94">
        <f t="shared" si="8"/>
        <v>0.20668817457726835</v>
      </c>
      <c r="P27" s="94">
        <f t="shared" si="8"/>
        <v>0.20668817457726835</v>
      </c>
      <c r="Q27" s="94">
        <f t="shared" si="8"/>
        <v>0.20668817457726835</v>
      </c>
      <c r="R27" s="94">
        <f t="shared" si="8"/>
        <v>0.20668817457726835</v>
      </c>
      <c r="S27" s="94">
        <f t="shared" si="8"/>
        <v>0.20668817457726835</v>
      </c>
    </row>
    <row r="28" spans="2:19" x14ac:dyDescent="0.25">
      <c r="B28" s="92"/>
      <c r="C28" s="95"/>
      <c r="D28" s="95"/>
      <c r="E28" s="95"/>
      <c r="F28" s="95"/>
      <c r="G28" s="95"/>
      <c r="H28" s="95"/>
      <c r="I28" s="95"/>
      <c r="J28" s="95"/>
      <c r="K28" s="93"/>
      <c r="L28" s="93"/>
      <c r="M28" s="93"/>
      <c r="N28" s="93"/>
      <c r="O28" s="93"/>
      <c r="P28" s="93"/>
      <c r="Q28" s="93"/>
      <c r="R28" s="93"/>
      <c r="S28" s="93"/>
    </row>
    <row r="29" spans="2:19" x14ac:dyDescent="0.25">
      <c r="B29" s="91" t="s">
        <v>72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2:19" x14ac:dyDescent="0.25">
      <c r="B30" s="92" t="s">
        <v>174</v>
      </c>
      <c r="C30" s="95"/>
      <c r="D30" s="95"/>
      <c r="E30" s="95"/>
      <c r="F30" s="95"/>
      <c r="G30" s="94">
        <f>'GP% automotive'!$H6</f>
        <v>0.12377549275432535</v>
      </c>
      <c r="H30" s="94">
        <f>'GP% automotive'!$H6</f>
        <v>0.12377549275432535</v>
      </c>
      <c r="I30" s="94">
        <f>'GP% automotive'!$H6</f>
        <v>0.12377549275432535</v>
      </c>
      <c r="J30" s="94">
        <f>'GP% automotive'!$H6</f>
        <v>0.12377549275432535</v>
      </c>
      <c r="K30" s="94">
        <f>'GP% automotive'!$H6</f>
        <v>0.12377549275432535</v>
      </c>
      <c r="L30" s="94">
        <f>'GP% automotive'!$H6</f>
        <v>0.12377549275432535</v>
      </c>
      <c r="M30" s="94">
        <f>'GP% automotive'!$H6</f>
        <v>0.12377549275432535</v>
      </c>
      <c r="N30" s="94">
        <f>'GP% automotive'!$H6</f>
        <v>0.12377549275432535</v>
      </c>
      <c r="O30" s="94">
        <f>'GP% automotive'!$H6</f>
        <v>0.12377549275432535</v>
      </c>
      <c r="P30" s="94">
        <f>'GP% automotive'!$H6</f>
        <v>0.12377549275432535</v>
      </c>
      <c r="Q30" s="94">
        <f>'GP% automotive'!$H6</f>
        <v>0.12377549275432535</v>
      </c>
      <c r="R30" s="94">
        <f>'GP% automotive'!$H6</f>
        <v>0.12377549275432535</v>
      </c>
      <c r="S30" s="94">
        <f>'GP% automotive'!$H6</f>
        <v>0.12377549275432535</v>
      </c>
    </row>
    <row r="31" spans="2:19" x14ac:dyDescent="0.25">
      <c r="B31" s="92" t="s">
        <v>180</v>
      </c>
      <c r="C31" s="95"/>
      <c r="D31" s="79"/>
      <c r="E31" s="79"/>
      <c r="F31" s="79"/>
      <c r="G31" s="94">
        <f>'GP% automotive'!$H7</f>
        <v>0.19216312852565895</v>
      </c>
      <c r="H31" s="94">
        <f>'GP% automotive'!$H7</f>
        <v>0.19216312852565895</v>
      </c>
      <c r="I31" s="94">
        <f>'GP% automotive'!$H7</f>
        <v>0.19216312852565895</v>
      </c>
      <c r="J31" s="94">
        <f>'GP% automotive'!$H7</f>
        <v>0.19216312852565895</v>
      </c>
      <c r="K31" s="94">
        <f>'GP% automotive'!$H7</f>
        <v>0.19216312852565895</v>
      </c>
      <c r="L31" s="94">
        <f>'GP% automotive'!$H7</f>
        <v>0.19216312852565895</v>
      </c>
      <c r="M31" s="94">
        <f>'GP% automotive'!$H7</f>
        <v>0.19216312852565895</v>
      </c>
      <c r="N31" s="94">
        <f>'GP% automotive'!$H7</f>
        <v>0.19216312852565895</v>
      </c>
      <c r="O31" s="94">
        <f>'GP% automotive'!$H7</f>
        <v>0.19216312852565895</v>
      </c>
      <c r="P31" s="94">
        <f>'GP% automotive'!$H7</f>
        <v>0.19216312852565895</v>
      </c>
      <c r="Q31" s="94">
        <f>'GP% automotive'!$H7</f>
        <v>0.19216312852565895</v>
      </c>
      <c r="R31" s="94">
        <f>'GP% automotive'!$H7</f>
        <v>0.19216312852565895</v>
      </c>
      <c r="S31" s="94">
        <f>'GP% automotive'!$H7</f>
        <v>0.19216312852565895</v>
      </c>
    </row>
    <row r="32" spans="2:19" x14ac:dyDescent="0.25">
      <c r="B32" s="92" t="s">
        <v>175</v>
      </c>
      <c r="C32" s="95"/>
      <c r="D32" s="95"/>
      <c r="E32" s="95"/>
      <c r="F32" s="95"/>
      <c r="G32" s="94">
        <f>'GP% automotive'!$H8</f>
        <v>0.19216312852565895</v>
      </c>
      <c r="H32" s="94">
        <f>'GP% automotive'!$H8</f>
        <v>0.19216312852565895</v>
      </c>
      <c r="I32" s="94">
        <f>'GP% automotive'!$H8</f>
        <v>0.19216312852565895</v>
      </c>
      <c r="J32" s="94">
        <f>'GP% automotive'!$H8</f>
        <v>0.19216312852565895</v>
      </c>
      <c r="K32" s="94">
        <f>'GP% automotive'!$H8</f>
        <v>0.19216312852565895</v>
      </c>
      <c r="L32" s="94">
        <f>'GP% automotive'!$H8</f>
        <v>0.19216312852565895</v>
      </c>
      <c r="M32" s="94">
        <f>'GP% automotive'!$H8</f>
        <v>0.19216312852565895</v>
      </c>
      <c r="N32" s="94">
        <f>'GP% automotive'!$H8</f>
        <v>0.19216312852565895</v>
      </c>
      <c r="O32" s="94">
        <f>'GP% automotive'!$H8</f>
        <v>0.19216312852565895</v>
      </c>
      <c r="P32" s="94">
        <f>'GP% automotive'!$H8</f>
        <v>0.19216312852565895</v>
      </c>
      <c r="Q32" s="94">
        <f>'GP% automotive'!$H8</f>
        <v>0.19216312852565895</v>
      </c>
      <c r="R32" s="94">
        <f>'GP% automotive'!$H8</f>
        <v>0.19216312852565895</v>
      </c>
      <c r="S32" s="94">
        <f>'GP% automotive'!$H8</f>
        <v>0.19216312852565895</v>
      </c>
    </row>
    <row r="33" spans="2:19" x14ac:dyDescent="0.25">
      <c r="B33" s="92" t="s">
        <v>177</v>
      </c>
      <c r="C33" s="95"/>
      <c r="D33" s="95"/>
      <c r="E33" s="95"/>
      <c r="F33" s="95"/>
      <c r="G33" s="94">
        <f>'GP% automotive'!$H9</f>
        <v>0.39313618860356131</v>
      </c>
      <c r="H33" s="94">
        <f>'GP% automotive'!$H9</f>
        <v>0.39313618860356131</v>
      </c>
      <c r="I33" s="94">
        <f>'GP% automotive'!$H9</f>
        <v>0.39313618860356131</v>
      </c>
      <c r="J33" s="94">
        <f>'GP% automotive'!$H9</f>
        <v>0.39313618860356131</v>
      </c>
      <c r="K33" s="94">
        <f>'GP% automotive'!$H9</f>
        <v>0.39313618860356131</v>
      </c>
      <c r="L33" s="94">
        <f>'GP% automotive'!$H9</f>
        <v>0.39313618860356131</v>
      </c>
      <c r="M33" s="94">
        <f>'GP% automotive'!$H9</f>
        <v>0.39313618860356131</v>
      </c>
      <c r="N33" s="94">
        <f>'GP% automotive'!$H9</f>
        <v>0.39313618860356131</v>
      </c>
      <c r="O33" s="94">
        <f>'GP% automotive'!$H9</f>
        <v>0.39313618860356131</v>
      </c>
      <c r="P33" s="94">
        <f>'GP% automotive'!$H9</f>
        <v>0.39313618860356131</v>
      </c>
      <c r="Q33" s="94">
        <f>'GP% automotive'!$H9</f>
        <v>0.39313618860356131</v>
      </c>
      <c r="R33" s="94">
        <f>'GP% automotive'!$H9</f>
        <v>0.39313618860356131</v>
      </c>
      <c r="S33" s="94">
        <f>'GP% automotive'!$H9</f>
        <v>0.39313618860356131</v>
      </c>
    </row>
    <row r="34" spans="2:19" x14ac:dyDescent="0.25">
      <c r="B34" s="92" t="s">
        <v>176</v>
      </c>
      <c r="C34" s="95"/>
      <c r="D34" s="95"/>
      <c r="E34" s="95"/>
      <c r="F34" s="95"/>
      <c r="G34" s="94">
        <f>'GP% automotive'!$H10</f>
        <v>0.12377549275432535</v>
      </c>
      <c r="H34" s="94">
        <f>'GP% automotive'!$H10</f>
        <v>0.12377549275432535</v>
      </c>
      <c r="I34" s="94">
        <f>'GP% automotive'!$H10</f>
        <v>0.12377549275432535</v>
      </c>
      <c r="J34" s="94">
        <f>'GP% automotive'!$H10</f>
        <v>0.12377549275432535</v>
      </c>
      <c r="K34" s="94">
        <f>'GP% automotive'!$H10</f>
        <v>0.12377549275432535</v>
      </c>
      <c r="L34" s="94">
        <f>'GP% automotive'!$H10</f>
        <v>0.12377549275432535</v>
      </c>
      <c r="M34" s="94">
        <f>'GP% automotive'!$H10</f>
        <v>0.12377549275432535</v>
      </c>
      <c r="N34" s="94">
        <f>'GP% automotive'!$H10</f>
        <v>0.12377549275432535</v>
      </c>
      <c r="O34" s="94">
        <f>'GP% automotive'!$H10</f>
        <v>0.12377549275432535</v>
      </c>
      <c r="P34" s="94">
        <f>'GP% automotive'!$H10</f>
        <v>0.12377549275432535</v>
      </c>
      <c r="Q34" s="94">
        <f>'GP% automotive'!$H10</f>
        <v>0.12377549275432535</v>
      </c>
      <c r="R34" s="94">
        <f>'GP% automotive'!$H10</f>
        <v>0.12377549275432535</v>
      </c>
      <c r="S34" s="94">
        <f>'GP% automotive'!$H10</f>
        <v>0.12377549275432535</v>
      </c>
    </row>
    <row r="35" spans="2:19" x14ac:dyDescent="0.25">
      <c r="B35" s="92" t="s">
        <v>173</v>
      </c>
      <c r="C35" s="95"/>
      <c r="D35" s="95"/>
      <c r="E35" s="95"/>
      <c r="F35" s="95"/>
      <c r="G35" s="94">
        <f>'GP% automotive'!$H11</f>
        <v>0.19168817457726836</v>
      </c>
      <c r="H35" s="94">
        <f>'GP% automotive'!$H11</f>
        <v>0.19168817457726836</v>
      </c>
      <c r="I35" s="94">
        <f>'GP% automotive'!$H11</f>
        <v>0.19168817457726836</v>
      </c>
      <c r="J35" s="94">
        <f>'GP% automotive'!$H11</f>
        <v>0.19168817457726836</v>
      </c>
      <c r="K35" s="94">
        <f>'GP% automotive'!$H11</f>
        <v>0.19168817457726836</v>
      </c>
      <c r="L35" s="94">
        <f>'GP% automotive'!$H11</f>
        <v>0.19168817457726836</v>
      </c>
      <c r="M35" s="94">
        <f>'GP% automotive'!$H11</f>
        <v>0.19168817457726836</v>
      </c>
      <c r="N35" s="94">
        <f>'GP% automotive'!$H11</f>
        <v>0.19168817457726836</v>
      </c>
      <c r="O35" s="94">
        <f>'GP% automotive'!$H11</f>
        <v>0.19168817457726836</v>
      </c>
      <c r="P35" s="94">
        <f>'GP% automotive'!$H11</f>
        <v>0.19168817457726836</v>
      </c>
      <c r="Q35" s="94">
        <f>'GP% automotive'!$H11</f>
        <v>0.19168817457726836</v>
      </c>
      <c r="R35" s="94">
        <f>'GP% automotive'!$H11</f>
        <v>0.19168817457726836</v>
      </c>
      <c r="S35" s="94">
        <f>'GP% automotive'!$H11</f>
        <v>0.19168817457726836</v>
      </c>
    </row>
    <row r="36" spans="2:19" x14ac:dyDescent="0.25">
      <c r="B36" s="92"/>
      <c r="C36" s="95"/>
      <c r="D36" s="95"/>
      <c r="E36" s="95"/>
      <c r="F36" s="95"/>
      <c r="G36" s="95"/>
      <c r="H36" s="95"/>
      <c r="I36" s="95"/>
      <c r="J36" s="95"/>
      <c r="K36" s="93"/>
      <c r="L36" s="93"/>
      <c r="M36" s="93"/>
      <c r="N36" s="93"/>
      <c r="O36" s="93"/>
      <c r="P36" s="93"/>
      <c r="Q36" s="93"/>
      <c r="R36" s="93"/>
      <c r="S36" s="93"/>
    </row>
    <row r="37" spans="2:19" x14ac:dyDescent="0.25">
      <c r="B37" s="91" t="s">
        <v>73</v>
      </c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</row>
    <row r="38" spans="2:19" x14ac:dyDescent="0.25">
      <c r="B38" s="92" t="s">
        <v>174</v>
      </c>
      <c r="C38" s="95"/>
      <c r="D38" s="95"/>
      <c r="E38" s="95"/>
      <c r="F38" s="95"/>
      <c r="G38" s="94">
        <f>G30-1.5%</f>
        <v>0.10877549275432535</v>
      </c>
      <c r="H38" s="94">
        <f t="shared" ref="H38:S38" si="9">H30-1.5%</f>
        <v>0.10877549275432535</v>
      </c>
      <c r="I38" s="94">
        <f t="shared" si="9"/>
        <v>0.10877549275432535</v>
      </c>
      <c r="J38" s="94">
        <f t="shared" si="9"/>
        <v>0.10877549275432535</v>
      </c>
      <c r="K38" s="94">
        <f t="shared" si="9"/>
        <v>0.10877549275432535</v>
      </c>
      <c r="L38" s="94">
        <f t="shared" si="9"/>
        <v>0.10877549275432535</v>
      </c>
      <c r="M38" s="94">
        <f t="shared" si="9"/>
        <v>0.10877549275432535</v>
      </c>
      <c r="N38" s="94">
        <f t="shared" si="9"/>
        <v>0.10877549275432535</v>
      </c>
      <c r="O38" s="94">
        <f t="shared" si="9"/>
        <v>0.10877549275432535</v>
      </c>
      <c r="P38" s="94">
        <f t="shared" si="9"/>
        <v>0.10877549275432535</v>
      </c>
      <c r="Q38" s="94">
        <f t="shared" si="9"/>
        <v>0.10877549275432535</v>
      </c>
      <c r="R38" s="94">
        <f t="shared" si="9"/>
        <v>0.10877549275432535</v>
      </c>
      <c r="S38" s="94">
        <f t="shared" si="9"/>
        <v>0.10877549275432535</v>
      </c>
    </row>
    <row r="39" spans="2:19" x14ac:dyDescent="0.25">
      <c r="B39" s="92" t="s">
        <v>180</v>
      </c>
      <c r="C39" s="95"/>
      <c r="D39" s="79"/>
      <c r="E39" s="79"/>
      <c r="F39" s="79"/>
      <c r="G39" s="94">
        <f t="shared" ref="G39:S39" si="10">G31-1.5%</f>
        <v>0.17716312852565896</v>
      </c>
      <c r="H39" s="94">
        <f t="shared" si="10"/>
        <v>0.17716312852565896</v>
      </c>
      <c r="I39" s="94">
        <f t="shared" si="10"/>
        <v>0.17716312852565896</v>
      </c>
      <c r="J39" s="94">
        <f t="shared" si="10"/>
        <v>0.17716312852565896</v>
      </c>
      <c r="K39" s="94">
        <f t="shared" si="10"/>
        <v>0.17716312852565896</v>
      </c>
      <c r="L39" s="94">
        <f t="shared" si="10"/>
        <v>0.17716312852565896</v>
      </c>
      <c r="M39" s="94">
        <f t="shared" si="10"/>
        <v>0.17716312852565896</v>
      </c>
      <c r="N39" s="94">
        <f t="shared" si="10"/>
        <v>0.17716312852565896</v>
      </c>
      <c r="O39" s="94">
        <f t="shared" si="10"/>
        <v>0.17716312852565896</v>
      </c>
      <c r="P39" s="94">
        <f t="shared" si="10"/>
        <v>0.17716312852565896</v>
      </c>
      <c r="Q39" s="94">
        <f t="shared" si="10"/>
        <v>0.17716312852565896</v>
      </c>
      <c r="R39" s="94">
        <f t="shared" si="10"/>
        <v>0.17716312852565896</v>
      </c>
      <c r="S39" s="94">
        <f t="shared" si="10"/>
        <v>0.17716312852565896</v>
      </c>
    </row>
    <row r="40" spans="2:19" x14ac:dyDescent="0.25">
      <c r="B40" s="92" t="s">
        <v>175</v>
      </c>
      <c r="C40" s="95"/>
      <c r="D40" s="95"/>
      <c r="E40" s="95"/>
      <c r="F40" s="95"/>
      <c r="G40" s="94">
        <f t="shared" ref="G40:S40" si="11">G32-1.5%</f>
        <v>0.17716312852565896</v>
      </c>
      <c r="H40" s="94">
        <f t="shared" si="11"/>
        <v>0.17716312852565896</v>
      </c>
      <c r="I40" s="94">
        <f t="shared" si="11"/>
        <v>0.17716312852565896</v>
      </c>
      <c r="J40" s="94">
        <f t="shared" si="11"/>
        <v>0.17716312852565896</v>
      </c>
      <c r="K40" s="94">
        <f t="shared" si="11"/>
        <v>0.17716312852565896</v>
      </c>
      <c r="L40" s="94">
        <f t="shared" si="11"/>
        <v>0.17716312852565896</v>
      </c>
      <c r="M40" s="94">
        <f t="shared" si="11"/>
        <v>0.17716312852565896</v>
      </c>
      <c r="N40" s="94">
        <f t="shared" si="11"/>
        <v>0.17716312852565896</v>
      </c>
      <c r="O40" s="94">
        <f t="shared" si="11"/>
        <v>0.17716312852565896</v>
      </c>
      <c r="P40" s="94">
        <f t="shared" si="11"/>
        <v>0.17716312852565896</v>
      </c>
      <c r="Q40" s="94">
        <f t="shared" si="11"/>
        <v>0.17716312852565896</v>
      </c>
      <c r="R40" s="94">
        <f t="shared" si="11"/>
        <v>0.17716312852565896</v>
      </c>
      <c r="S40" s="94">
        <f t="shared" si="11"/>
        <v>0.17716312852565896</v>
      </c>
    </row>
    <row r="41" spans="2:19" x14ac:dyDescent="0.25">
      <c r="B41" s="92" t="s">
        <v>177</v>
      </c>
      <c r="C41" s="95"/>
      <c r="D41" s="95"/>
      <c r="E41" s="95"/>
      <c r="F41" s="95"/>
      <c r="G41" s="94">
        <f t="shared" ref="G41:S41" si="12">G33-1.5%</f>
        <v>0.3781361886035613</v>
      </c>
      <c r="H41" s="94">
        <f t="shared" si="12"/>
        <v>0.3781361886035613</v>
      </c>
      <c r="I41" s="94">
        <f t="shared" si="12"/>
        <v>0.3781361886035613</v>
      </c>
      <c r="J41" s="94">
        <f t="shared" si="12"/>
        <v>0.3781361886035613</v>
      </c>
      <c r="K41" s="94">
        <f t="shared" si="12"/>
        <v>0.3781361886035613</v>
      </c>
      <c r="L41" s="94">
        <f t="shared" si="12"/>
        <v>0.3781361886035613</v>
      </c>
      <c r="M41" s="94">
        <f t="shared" si="12"/>
        <v>0.3781361886035613</v>
      </c>
      <c r="N41" s="94">
        <f t="shared" si="12"/>
        <v>0.3781361886035613</v>
      </c>
      <c r="O41" s="94">
        <f t="shared" si="12"/>
        <v>0.3781361886035613</v>
      </c>
      <c r="P41" s="94">
        <f t="shared" si="12"/>
        <v>0.3781361886035613</v>
      </c>
      <c r="Q41" s="94">
        <f t="shared" si="12"/>
        <v>0.3781361886035613</v>
      </c>
      <c r="R41" s="94">
        <f t="shared" si="12"/>
        <v>0.3781361886035613</v>
      </c>
      <c r="S41" s="94">
        <f t="shared" si="12"/>
        <v>0.3781361886035613</v>
      </c>
    </row>
    <row r="42" spans="2:19" x14ac:dyDescent="0.25">
      <c r="B42" s="92" t="s">
        <v>176</v>
      </c>
      <c r="C42" s="95"/>
      <c r="D42" s="95"/>
      <c r="E42" s="95"/>
      <c r="F42" s="95"/>
      <c r="G42" s="94">
        <f t="shared" ref="G42:S42" si="13">G34-1.5%</f>
        <v>0.10877549275432535</v>
      </c>
      <c r="H42" s="94">
        <f t="shared" si="13"/>
        <v>0.10877549275432535</v>
      </c>
      <c r="I42" s="94">
        <f t="shared" si="13"/>
        <v>0.10877549275432535</v>
      </c>
      <c r="J42" s="94">
        <f t="shared" si="13"/>
        <v>0.10877549275432535</v>
      </c>
      <c r="K42" s="94">
        <f t="shared" si="13"/>
        <v>0.10877549275432535</v>
      </c>
      <c r="L42" s="94">
        <f t="shared" si="13"/>
        <v>0.10877549275432535</v>
      </c>
      <c r="M42" s="94">
        <f t="shared" si="13"/>
        <v>0.10877549275432535</v>
      </c>
      <c r="N42" s="94">
        <f t="shared" si="13"/>
        <v>0.10877549275432535</v>
      </c>
      <c r="O42" s="94">
        <f t="shared" si="13"/>
        <v>0.10877549275432535</v>
      </c>
      <c r="P42" s="94">
        <f t="shared" si="13"/>
        <v>0.10877549275432535</v>
      </c>
      <c r="Q42" s="94">
        <f t="shared" si="13"/>
        <v>0.10877549275432535</v>
      </c>
      <c r="R42" s="94">
        <f t="shared" si="13"/>
        <v>0.10877549275432535</v>
      </c>
      <c r="S42" s="94">
        <f t="shared" si="13"/>
        <v>0.10877549275432535</v>
      </c>
    </row>
    <row r="43" spans="2:19" x14ac:dyDescent="0.25">
      <c r="B43" s="92" t="s">
        <v>173</v>
      </c>
      <c r="C43" s="95"/>
      <c r="D43" s="95"/>
      <c r="E43" s="95"/>
      <c r="F43" s="95"/>
      <c r="G43" s="94">
        <f t="shared" ref="G43:S43" si="14">G35-1.5%</f>
        <v>0.17668817457726838</v>
      </c>
      <c r="H43" s="94">
        <f t="shared" si="14"/>
        <v>0.17668817457726838</v>
      </c>
      <c r="I43" s="94">
        <f t="shared" si="14"/>
        <v>0.17668817457726838</v>
      </c>
      <c r="J43" s="94">
        <f t="shared" si="14"/>
        <v>0.17668817457726838</v>
      </c>
      <c r="K43" s="94">
        <f t="shared" si="14"/>
        <v>0.17668817457726838</v>
      </c>
      <c r="L43" s="94">
        <f t="shared" si="14"/>
        <v>0.17668817457726838</v>
      </c>
      <c r="M43" s="94">
        <f t="shared" si="14"/>
        <v>0.17668817457726838</v>
      </c>
      <c r="N43" s="94">
        <f t="shared" si="14"/>
        <v>0.17668817457726838</v>
      </c>
      <c r="O43" s="94">
        <f t="shared" si="14"/>
        <v>0.17668817457726838</v>
      </c>
      <c r="P43" s="94">
        <f t="shared" si="14"/>
        <v>0.17668817457726838</v>
      </c>
      <c r="Q43" s="94">
        <f t="shared" si="14"/>
        <v>0.17668817457726838</v>
      </c>
      <c r="R43" s="94">
        <f t="shared" si="14"/>
        <v>0.17668817457726838</v>
      </c>
      <c r="S43" s="94">
        <f t="shared" si="14"/>
        <v>0.17668817457726838</v>
      </c>
    </row>
    <row r="44" spans="2:19" x14ac:dyDescent="0.25">
      <c r="B44" s="92"/>
      <c r="C44" s="95"/>
      <c r="D44" s="95"/>
      <c r="E44" s="95"/>
      <c r="F44" s="95"/>
      <c r="G44" s="92"/>
      <c r="H44" s="92"/>
      <c r="I44" s="95"/>
      <c r="J44" s="95"/>
      <c r="K44" s="93"/>
      <c r="L44" s="93"/>
      <c r="M44" s="93"/>
      <c r="N44" s="93"/>
      <c r="O44" s="93"/>
      <c r="P44" s="93"/>
      <c r="Q44" s="93"/>
      <c r="R44" s="93"/>
      <c r="S44" s="93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221</v>
      </c>
    </row>
    <row r="2" spans="1:19" ht="15.6" x14ac:dyDescent="0.25">
      <c r="A2" s="1"/>
      <c r="B2" s="2"/>
    </row>
    <row r="3" spans="1:19" ht="12" x14ac:dyDescent="0.25">
      <c r="C3" s="218" t="s">
        <v>317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 t="s">
        <v>65</v>
      </c>
      <c r="D5" s="73" t="s">
        <v>65</v>
      </c>
      <c r="E5" s="73" t="s">
        <v>65</v>
      </c>
      <c r="F5" s="73" t="s">
        <v>65</v>
      </c>
      <c r="G5" s="73" t="s">
        <v>65</v>
      </c>
      <c r="H5" s="90">
        <f>-('Revenue automotive'!H5-'GP automotive'!H5)</f>
        <v>-3827.3486476491071</v>
      </c>
      <c r="I5" s="74" t="s">
        <v>65</v>
      </c>
      <c r="J5" s="90">
        <f>-('Revenue automotive'!J5-'GP automotive'!J5)</f>
        <v>-9568.3716191227668</v>
      </c>
      <c r="K5" s="90">
        <f>-('Revenue automotive'!K5-'GP automotive'!K5)</f>
        <v>-15309.394590596428</v>
      </c>
      <c r="L5" s="90">
        <f>-('Revenue automotive'!L5-'GP automotive'!L5)</f>
        <v>-16840.334049656074</v>
      </c>
      <c r="M5" s="90">
        <f>-('Revenue automotive'!M5-'GP automotive'!M5)</f>
        <v>-18524.367454621679</v>
      </c>
      <c r="N5" s="90">
        <f>-('Revenue automotive'!N5-'GP automotive'!N5)</f>
        <v>-19450.585827352763</v>
      </c>
      <c r="O5" s="90">
        <f>-('Revenue automotive'!O5-'GP automotive'!O5)</f>
        <v>-20423.115118720405</v>
      </c>
      <c r="P5" s="90">
        <f>-('Revenue automotive'!P5-'GP automotive'!P5)</f>
        <v>-20831.577421094811</v>
      </c>
      <c r="Q5" s="90">
        <f>-('Revenue automotive'!Q5-'GP automotive'!Q5)</f>
        <v>-21248.208969516709</v>
      </c>
      <c r="R5" s="90">
        <f>-('Revenue automotive'!R5-'GP automotive'!R5)</f>
        <v>-21673.173148907044</v>
      </c>
      <c r="S5" s="90">
        <f>-('Revenue automotive'!S5-'GP automotive'!S5)</f>
        <v>-22106.636611885184</v>
      </c>
    </row>
    <row r="6" spans="1:19" x14ac:dyDescent="0.25">
      <c r="B6" s="8" t="s">
        <v>180</v>
      </c>
      <c r="C6" s="73" t="s">
        <v>65</v>
      </c>
      <c r="D6" s="73" t="s">
        <v>65</v>
      </c>
      <c r="E6" s="73" t="s">
        <v>65</v>
      </c>
      <c r="F6" s="73" t="s">
        <v>65</v>
      </c>
      <c r="G6" s="73" t="s">
        <v>65</v>
      </c>
      <c r="H6" s="90">
        <f>-('Revenue automotive'!H6-'GP automotive'!H6)</f>
        <v>-3951.3320975988709</v>
      </c>
      <c r="I6" s="74" t="s">
        <v>65</v>
      </c>
      <c r="J6" s="90">
        <f>-('Revenue automotive'!J6-'GP automotive'!J6)</f>
        <v>-7209.9440779084944</v>
      </c>
      <c r="K6" s="90">
        <f>-('Revenue automotive'!K6-'GP automotive'!K6)</f>
        <v>-7354.1429594666643</v>
      </c>
      <c r="L6" s="90">
        <f>-('Revenue automotive'!L6-'GP automotive'!L6)</f>
        <v>-7501.2258186559966</v>
      </c>
      <c r="M6" s="90">
        <f>-('Revenue automotive'!M6-'GP automotive'!M6)</f>
        <v>-7651.2503350291172</v>
      </c>
      <c r="N6" s="90">
        <f>-('Revenue automotive'!N6-'GP automotive'!N6)</f>
        <v>-7804.2753417296999</v>
      </c>
      <c r="O6" s="90">
        <f>-('Revenue automotive'!O6-'GP automotive'!O6)</f>
        <v>-7960.3608485642953</v>
      </c>
      <c r="P6" s="90">
        <f>-('Revenue automotive'!P6-'GP automotive'!P6)</f>
        <v>-8119.5680655355791</v>
      </c>
      <c r="Q6" s="90">
        <f>-('Revenue automotive'!Q6-'GP automotive'!Q6)</f>
        <v>-8281.9594268462915</v>
      </c>
      <c r="R6" s="90">
        <f>-('Revenue automotive'!R6-'GP automotive'!R6)</f>
        <v>-8447.5986153832182</v>
      </c>
      <c r="S6" s="90">
        <f>-('Revenue automotive'!S6-'GP automotive'!S6)</f>
        <v>-8616.5505876908828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89">
        <f>-('Revenue automotive'!G7-'GP automotive'!G7)</f>
        <v>0</v>
      </c>
      <c r="H7" s="90">
        <f>-('Revenue automotive'!H7-'GP automotive'!H7)</f>
        <v>0</v>
      </c>
      <c r="I7" s="90">
        <f>-('Revenue automotive'!I7-'GP automotive'!I7)</f>
        <v>0</v>
      </c>
      <c r="J7" s="90">
        <f>-('Revenue automotive'!J7-'GP automotive'!J7)</f>
        <v>-71.251212064036878</v>
      </c>
      <c r="K7" s="90">
        <f>-('Revenue automotive'!K7-'GP automotive'!K7)</f>
        <v>-5275.9826075989213</v>
      </c>
      <c r="L7" s="90">
        <f>-('Revenue automotive'!L7-'GP automotive'!L7)</f>
        <v>-10501.879329166433</v>
      </c>
      <c r="M7" s="90">
        <f>-('Revenue automotive'!M7-'GP automotive'!M7)</f>
        <v>-16803.006926666294</v>
      </c>
      <c r="N7" s="90">
        <f>-('Revenue automotive'!N7-'GP automotive'!N7)</f>
        <v>-18483.307619332925</v>
      </c>
      <c r="O7" s="90">
        <f>-('Revenue automotive'!O7-'GP automotive'!O7)</f>
        <v>-20331.638381266221</v>
      </c>
      <c r="P7" s="90">
        <f>-('Revenue automotive'!P7-'GP automotive'!P7)</f>
        <v>-21348.220300329533</v>
      </c>
      <c r="Q7" s="90">
        <f>-('Revenue automotive'!Q7-'GP automotive'!Q7)</f>
        <v>-22415.631315346011</v>
      </c>
      <c r="R7" s="90">
        <f>-('Revenue automotive'!R7-'GP automotive'!R7)</f>
        <v>-22863.943941652928</v>
      </c>
      <c r="S7" s="90">
        <f>-('Revenue automotive'!S7-'GP automotive'!S7)</f>
        <v>-23321.222820485986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89">
        <f>-('Revenue automotive'!G8-'GP automotive'!G8)</f>
        <v>0</v>
      </c>
      <c r="H8" s="90">
        <f>-('Revenue automotive'!H8-'GP automotive'!H8)</f>
        <v>0</v>
      </c>
      <c r="I8" s="90">
        <f>-('Revenue automotive'!I8-'GP automotive'!I8)</f>
        <v>0</v>
      </c>
      <c r="J8" s="90">
        <f>-('Revenue automotive'!J8-'GP automotive'!J8)</f>
        <v>0</v>
      </c>
      <c r="K8" s="90">
        <f>-('Revenue automotive'!K8-'GP automotive'!K8)</f>
        <v>-69.789338310590452</v>
      </c>
      <c r="L8" s="90">
        <f>-('Revenue automotive'!L8-'GP automotive'!L8)</f>
        <v>-139.5786766211809</v>
      </c>
      <c r="M8" s="90">
        <f>-('Revenue automotive'!M8-'GP automotive'!M8)</f>
        <v>-209.36801493177134</v>
      </c>
      <c r="N8" s="90">
        <f>-('Revenue automotive'!N8-'GP automotive'!N8)</f>
        <v>-230.30481642494851</v>
      </c>
      <c r="O8" s="90">
        <f>-('Revenue automotive'!O8-'GP automotive'!O8)</f>
        <v>-253.3352980674434</v>
      </c>
      <c r="P8" s="90">
        <f>-('Revenue automotive'!P8-'GP automotive'!P8)</f>
        <v>-266.00206297081559</v>
      </c>
      <c r="Q8" s="90">
        <f>-('Revenue automotive'!Q8-'GP automotive'!Q8)</f>
        <v>-279.30216611935634</v>
      </c>
      <c r="R8" s="90">
        <f>-('Revenue automotive'!R8-'GP automotive'!R8)</f>
        <v>-284.88820944174347</v>
      </c>
      <c r="S8" s="90">
        <f>-('Revenue automotive'!S8-'GP automotive'!S8)</f>
        <v>-290.58597363057839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89">
        <f>-('Revenue automotive'!G9-'GP automotive'!G9)</f>
        <v>0</v>
      </c>
      <c r="H9" s="90">
        <f>-('Revenue automotive'!H9-'GP automotive'!H9)</f>
        <v>0</v>
      </c>
      <c r="I9" s="90">
        <f>-('Revenue automotive'!I9-'GP automotive'!I9)</f>
        <v>0</v>
      </c>
      <c r="J9" s="90">
        <f>-('Revenue automotive'!J9-'GP automotive'!J9)</f>
        <v>-13.800535989119375</v>
      </c>
      <c r="K9" s="90">
        <f>-('Revenue automotive'!K9-'GP automotive'!K9)</f>
        <v>-1021.896831575268</v>
      </c>
      <c r="L9" s="90">
        <f>-('Revenue automotive'!L9-'GP automotive'!L9)</f>
        <v>-2034.0926061060304</v>
      </c>
      <c r="M9" s="90">
        <f>-('Revenue automotive'!M9-'GP automotive'!M9)</f>
        <v>-3254.5481697696496</v>
      </c>
      <c r="N9" s="90">
        <f>-('Revenue automotive'!N9-'GP automotive'!N9)</f>
        <v>-3580.0029867466146</v>
      </c>
      <c r="O9" s="90">
        <f>-('Revenue automotive'!O9-'GP automotive'!O9)</f>
        <v>-3938.0032854212768</v>
      </c>
      <c r="P9" s="90">
        <f>-('Revenue automotive'!P9-'GP automotive'!P9)</f>
        <v>-4134.9034496923405</v>
      </c>
      <c r="Q9" s="90">
        <f>-('Revenue automotive'!Q9-'GP automotive'!Q9)</f>
        <v>-4341.6486221769574</v>
      </c>
      <c r="R9" s="90">
        <f>-('Revenue automotive'!R9-'GP automotive'!R9)</f>
        <v>-4428.4815946204972</v>
      </c>
      <c r="S9" s="90">
        <f>-('Revenue automotive'!S9-'GP automotive'!S9)</f>
        <v>-4517.0512265129064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89">
        <f>-('Revenue automotive'!G10-'GP automotive'!G10)</f>
        <v>0</v>
      </c>
      <c r="H10" s="90">
        <f>-('Revenue automotive'!H10-'GP automotive'!H10)</f>
        <v>0</v>
      </c>
      <c r="I10" s="90">
        <f>-('Revenue automotive'!I10-'GP automotive'!I10)</f>
        <v>0</v>
      </c>
      <c r="J10" s="90">
        <f>-('Revenue automotive'!J10-'GP automotive'!J10)</f>
        <v>-40.415591271136584</v>
      </c>
      <c r="K10" s="90">
        <f>-('Revenue automotive'!K10-'GP automotive'!K10)</f>
        <v>-2992.6783060293997</v>
      </c>
      <c r="L10" s="90">
        <f>-('Revenue automotive'!L10-'GP automotive'!L10)</f>
        <v>-5956.9465592378192</v>
      </c>
      <c r="M10" s="90">
        <f>-('Revenue automotive'!M10-'GP automotive'!M10)</f>
        <v>-9531.1144947805114</v>
      </c>
      <c r="N10" s="90">
        <f>-('Revenue automotive'!N10-'GP automotive'!N10)</f>
        <v>-10484.225944258562</v>
      </c>
      <c r="O10" s="90">
        <f>-('Revenue automotive'!O10-'GP automotive'!O10)</f>
        <v>-11532.64853868442</v>
      </c>
      <c r="P10" s="90">
        <f>-('Revenue automotive'!P10-'GP automotive'!P10)</f>
        <v>-12109.280965618642</v>
      </c>
      <c r="Q10" s="90">
        <f>-('Revenue automotive'!Q10-'GP automotive'!Q10)</f>
        <v>-12714.745013899575</v>
      </c>
      <c r="R10" s="90">
        <f>-('Revenue automotive'!R10-'GP automotive'!R10)</f>
        <v>-12969.039914177567</v>
      </c>
      <c r="S10" s="90">
        <f>-('Revenue automotive'!S10-'GP automotive'!S10)</f>
        <v>-13228.420712461118</v>
      </c>
    </row>
    <row r="11" spans="1:19" ht="12.6" thickBot="1" x14ac:dyDescent="0.3">
      <c r="B11" s="116" t="s">
        <v>69</v>
      </c>
      <c r="C11" s="127">
        <f>'P&amp;L Input'!C8/1000</f>
        <v>-2145.7489999999998</v>
      </c>
      <c r="D11" s="127">
        <f>'P&amp;L Input'!D8/1000</f>
        <v>-2823.3020000000001</v>
      </c>
      <c r="E11" s="127">
        <f>'P&amp;L Input'!E8/1000</f>
        <v>-4750.0810000000001</v>
      </c>
      <c r="F11" s="127">
        <f>'P&amp;L Input'!F8/1000</f>
        <v>-7432.7039999999997</v>
      </c>
      <c r="G11" s="127">
        <f>-('Revenue automotive'!G11-'GP automotive'!G11)</f>
        <v>-4862.5469999999996</v>
      </c>
      <c r="H11" s="127">
        <f t="shared" ref="H11:N11" si="0">SUM(H5:H10)</f>
        <v>-7778.6807452479779</v>
      </c>
      <c r="I11" s="127">
        <f>-('Revenue automotive'!I11-'GP automotive'!I11)</f>
        <v>-11525.019745247979</v>
      </c>
      <c r="J11" s="127">
        <f t="shared" si="0"/>
        <v>-16903.783036355555</v>
      </c>
      <c r="K11" s="127">
        <f t="shared" si="0"/>
        <v>-32023.884633577272</v>
      </c>
      <c r="L11" s="127">
        <f t="shared" si="0"/>
        <v>-42974.057039443534</v>
      </c>
      <c r="M11" s="127">
        <f t="shared" si="0"/>
        <v>-55973.655395799025</v>
      </c>
      <c r="N11" s="127">
        <f t="shared" si="0"/>
        <v>-60032.702535845514</v>
      </c>
      <c r="O11" s="127">
        <f t="shared" ref="O11:S11" si="1">SUM(O5:O10)</f>
        <v>-64439.101470724068</v>
      </c>
      <c r="P11" s="127">
        <f t="shared" si="1"/>
        <v>-66809.552265241728</v>
      </c>
      <c r="Q11" s="127">
        <f t="shared" si="1"/>
        <v>-69281.495513904898</v>
      </c>
      <c r="R11" s="127">
        <f t="shared" si="1"/>
        <v>-70667.125424183003</v>
      </c>
      <c r="S11" s="127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293</v>
      </c>
    </row>
    <row r="2" spans="1:19" ht="15.6" x14ac:dyDescent="0.25">
      <c r="A2" s="1"/>
      <c r="B2" s="2"/>
    </row>
    <row r="3" spans="1:19" ht="24" x14ac:dyDescent="0.25">
      <c r="A3" s="1"/>
      <c r="B3" s="36" t="s">
        <v>171</v>
      </c>
      <c r="C3" s="6" t="s">
        <v>45</v>
      </c>
      <c r="D3" s="6" t="s">
        <v>46</v>
      </c>
      <c r="E3" s="6" t="s">
        <v>47</v>
      </c>
      <c r="F3" s="6" t="s">
        <v>164</v>
      </c>
      <c r="G3" s="6"/>
      <c r="H3" s="98"/>
      <c r="I3" s="98" t="s">
        <v>182</v>
      </c>
      <c r="J3" s="98" t="s">
        <v>184</v>
      </c>
      <c r="K3" s="98" t="s">
        <v>185</v>
      </c>
      <c r="L3" s="98" t="s">
        <v>186</v>
      </c>
      <c r="M3" s="98" t="s">
        <v>187</v>
      </c>
      <c r="N3" s="98" t="s">
        <v>188</v>
      </c>
      <c r="O3" s="98" t="s">
        <v>268</v>
      </c>
      <c r="P3" s="98" t="s">
        <v>269</v>
      </c>
      <c r="Q3" s="98" t="s">
        <v>270</v>
      </c>
      <c r="R3" s="98" t="s">
        <v>271</v>
      </c>
      <c r="S3" s="98" t="s">
        <v>272</v>
      </c>
    </row>
    <row r="4" spans="1:19" x14ac:dyDescent="0.25">
      <c r="B4" s="8" t="s">
        <v>294</v>
      </c>
      <c r="C4" s="89">
        <f>'Revenue automotive'!C11</f>
        <v>3007.0120000000002</v>
      </c>
      <c r="D4" s="89">
        <f>'Revenue automotive'!D11</f>
        <v>3740.973</v>
      </c>
      <c r="E4" s="89">
        <f>'Revenue automotive'!E11</f>
        <v>6350.7659999999996</v>
      </c>
      <c r="F4" s="166">
        <f>'Revenue automotive'!F11</f>
        <v>9641.2999999999993</v>
      </c>
      <c r="G4" s="166"/>
      <c r="H4" s="90"/>
      <c r="I4" s="90">
        <f>'Revenue automotive'!I11</f>
        <v>14236.04</v>
      </c>
      <c r="J4" s="90">
        <f>'Revenue automotive'!J11</f>
        <v>19998.95</v>
      </c>
      <c r="K4" s="90">
        <f>'Revenue automotive'!K11</f>
        <v>38090.130952380954</v>
      </c>
      <c r="L4" s="90">
        <f>'Revenue automotive'!L11</f>
        <v>51425.813083900233</v>
      </c>
      <c r="M4" s="90">
        <f>'Revenue automotive'!M11</f>
        <v>67263.070334240372</v>
      </c>
      <c r="N4" s="90">
        <f>'Revenue automotive'!N11</f>
        <v>72174.618855664419</v>
      </c>
      <c r="O4" s="90">
        <f>'Revenue automotive'!O11</f>
        <v>77509.315378990868</v>
      </c>
      <c r="P4" s="90">
        <f>'Revenue automotive'!P11</f>
        <v>80389.920968883598</v>
      </c>
      <c r="Q4" s="90">
        <f>'Revenue automotive'!Q11</f>
        <v>83394.659634689859</v>
      </c>
      <c r="R4" s="90">
        <f>'Revenue automotive'!R11</f>
        <v>85062.552827383639</v>
      </c>
      <c r="S4" s="90">
        <f>'Revenue automotive'!S11</f>
        <v>86763.803883931323</v>
      </c>
    </row>
    <row r="5" spans="1:19" x14ac:dyDescent="0.25">
      <c r="B5" s="8" t="s">
        <v>295</v>
      </c>
      <c r="C5" s="89">
        <f>'GP automotive'!C11</f>
        <v>861.26300000000003</v>
      </c>
      <c r="D5" s="89">
        <f>'GP automotive'!D11</f>
        <v>917.67100000000005</v>
      </c>
      <c r="E5" s="89">
        <f>'GP automotive'!E11</f>
        <v>1600.6849999999999</v>
      </c>
      <c r="F5" s="166">
        <f>'GP automotive'!F11</f>
        <v>2208.596</v>
      </c>
      <c r="G5" s="166"/>
      <c r="H5" s="90"/>
      <c r="I5" s="90">
        <f>'GP automotive'!I11</f>
        <v>2711.0202547520225</v>
      </c>
      <c r="J5" s="90">
        <f>'GP automotive'!J11</f>
        <v>3095.1669636444458</v>
      </c>
      <c r="K5" s="90">
        <f>'GP automotive'!K11</f>
        <v>6066.2463188036818</v>
      </c>
      <c r="L5" s="90">
        <f>'GP automotive'!L11</f>
        <v>8451.7560444566952</v>
      </c>
      <c r="M5" s="90">
        <f>'GP automotive'!M11</f>
        <v>11289.414938441347</v>
      </c>
      <c r="N5" s="90">
        <f>'GP automotive'!N11</f>
        <v>12141.916319818894</v>
      </c>
      <c r="O5" s="90">
        <f>'GP automotive'!O11</f>
        <v>13070.213908266798</v>
      </c>
      <c r="P5" s="90">
        <f>'GP automotive'!P11</f>
        <v>13580.36870364188</v>
      </c>
      <c r="Q5" s="90">
        <f>'GP automotive'!Q11</f>
        <v>14113.164120784952</v>
      </c>
      <c r="R5" s="90">
        <f>'GP automotive'!R11</f>
        <v>14395.427403200651</v>
      </c>
      <c r="S5" s="90">
        <f>'GP automotive'!S11</f>
        <v>14683.335951264664</v>
      </c>
    </row>
    <row r="6" spans="1:19" x14ac:dyDescent="0.25">
      <c r="B6" s="8" t="s">
        <v>217</v>
      </c>
      <c r="C6" s="214">
        <f>C5/C4</f>
        <v>0.28641821183287597</v>
      </c>
      <c r="D6" s="214">
        <f>D5/D4</f>
        <v>0.24530275946926108</v>
      </c>
      <c r="E6" s="214">
        <f>E5/E4</f>
        <v>0.25204597366679865</v>
      </c>
      <c r="F6" s="214">
        <f>F5/F4</f>
        <v>0.2290765768101812</v>
      </c>
      <c r="G6" s="214"/>
      <c r="H6" s="214"/>
      <c r="I6" s="216">
        <f>I5/I4</f>
        <v>0.19043359352404338</v>
      </c>
      <c r="J6" s="216">
        <f t="shared" ref="J6:S6" si="0">J5/J4</f>
        <v>0.15476647342207694</v>
      </c>
      <c r="K6" s="216">
        <f t="shared" si="0"/>
        <v>0.15926031670480487</v>
      </c>
      <c r="L6" s="216">
        <f t="shared" si="0"/>
        <v>0.16434851561156294</v>
      </c>
      <c r="M6" s="216">
        <f t="shared" si="0"/>
        <v>0.16783972070175412</v>
      </c>
      <c r="N6" s="216">
        <f t="shared" si="0"/>
        <v>0.16822972552304613</v>
      </c>
      <c r="O6" s="216">
        <f t="shared" si="0"/>
        <v>0.16862765261644305</v>
      </c>
      <c r="P6" s="216">
        <f t="shared" si="0"/>
        <v>0.1689312359057849</v>
      </c>
      <c r="Q6" s="216">
        <f t="shared" si="0"/>
        <v>0.16923342792701163</v>
      </c>
      <c r="R6" s="216">
        <f t="shared" si="0"/>
        <v>0.16923342792701165</v>
      </c>
      <c r="S6" s="216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251</v>
      </c>
    </row>
    <row r="2" spans="1:19" ht="15.6" x14ac:dyDescent="0.25">
      <c r="A2" s="1"/>
      <c r="B2" s="2"/>
    </row>
    <row r="3" spans="1:19" ht="12" x14ac:dyDescent="0.25">
      <c r="C3" s="218" t="s">
        <v>297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89">
        <f>'P&amp;L Input'!C5/1000</f>
        <v>4.2080000000000002</v>
      </c>
      <c r="D5" s="89">
        <f>'P&amp;L Input'!D5/1000</f>
        <v>14.477</v>
      </c>
      <c r="E5" s="89">
        <f>'P&amp;L Input'!E5/1000</f>
        <v>181.39400000000001</v>
      </c>
      <c r="F5" s="89">
        <f>'P&amp;L Input'!F5/1000</f>
        <v>1116.2660000000001</v>
      </c>
      <c r="G5" s="89">
        <f>'P&amp;L Input'!G5/1000</f>
        <v>784.43</v>
      </c>
      <c r="H5" s="90">
        <f>G5</f>
        <v>784.43</v>
      </c>
      <c r="I5" s="90">
        <f>G5+H5</f>
        <v>1568.86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89">
        <f>'P&amp;L Input'!C6/1000</f>
        <v>187.136</v>
      </c>
      <c r="D6" s="89">
        <f>'P&amp;L Input'!D6/1000</f>
        <v>290.57499999999999</v>
      </c>
      <c r="E6" s="89">
        <f>'P&amp;L Input'!E6/1000</f>
        <v>467.97199999999998</v>
      </c>
      <c r="F6" s="89">
        <f>'P&amp;L Input'!F6/1000</f>
        <v>1001.1849999999999</v>
      </c>
      <c r="G6" s="89">
        <f>'P&amp;L Input'!G6/1000</f>
        <v>533.55399999999997</v>
      </c>
      <c r="H6" s="90">
        <f>G6</f>
        <v>533.55399999999997</v>
      </c>
      <c r="I6" s="90">
        <f>G6+H6</f>
        <v>1067.1079999999999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191.34399999999999</v>
      </c>
      <c r="D7" s="106">
        <f>SUM(D5:D6)</f>
        <v>305.05199999999996</v>
      </c>
      <c r="E7" s="106">
        <f>SUM(E5:E6)</f>
        <v>649.36599999999999</v>
      </c>
      <c r="F7" s="106">
        <f>SUM(F5:F6)</f>
        <v>2117.451</v>
      </c>
      <c r="G7" s="106">
        <f>SUM(G5:G6)</f>
        <v>1317.9839999999999</v>
      </c>
      <c r="H7" s="107">
        <f t="shared" ref="H7:I7" si="0">SUM(H5:H6)</f>
        <v>1317.9839999999999</v>
      </c>
      <c r="I7" s="107">
        <f t="shared" si="0"/>
        <v>2635.9679999999998</v>
      </c>
      <c r="J7" s="107">
        <f>I7*(1+J12)</f>
        <v>3057.7228799999998</v>
      </c>
      <c r="K7" s="107">
        <f t="shared" ref="K7:N7" si="1">J7*(1+K12)</f>
        <v>3424.6496256</v>
      </c>
      <c r="L7" s="107">
        <f t="shared" si="1"/>
        <v>3698.6215956480005</v>
      </c>
      <c r="M7" s="107">
        <f t="shared" si="1"/>
        <v>3920.5388913868806</v>
      </c>
      <c r="N7" s="107">
        <f t="shared" si="1"/>
        <v>4155.7712248700936</v>
      </c>
      <c r="O7" s="107">
        <f t="shared" ref="O7" si="2">N7*(1+O12)</f>
        <v>4405.1174983622996</v>
      </c>
      <c r="P7" s="107">
        <f t="shared" ref="P7" si="3">O7*(1+P12)</f>
        <v>4669.4245482640381</v>
      </c>
      <c r="Q7" s="107">
        <f t="shared" ref="Q7" si="4">P7*(1+Q12)</f>
        <v>4949.590021159881</v>
      </c>
      <c r="R7" s="107">
        <f t="shared" ref="R7" si="5">Q7*(1+R12)</f>
        <v>5246.565422429474</v>
      </c>
      <c r="S7" s="107">
        <f t="shared" ref="S7" si="6">R7*(1+S12)</f>
        <v>5561.3593477752429</v>
      </c>
    </row>
    <row r="8" spans="1:19" x14ac:dyDescent="0.25">
      <c r="B8" s="8" t="s">
        <v>219</v>
      </c>
      <c r="C8" s="89">
        <v>255.03100000000001</v>
      </c>
      <c r="D8" s="89">
        <v>399.61900000000003</v>
      </c>
      <c r="E8" s="89">
        <v>730.34199999999998</v>
      </c>
      <c r="F8" s="89">
        <v>0</v>
      </c>
      <c r="G8" s="89">
        <v>0</v>
      </c>
      <c r="H8" s="90">
        <v>0</v>
      </c>
      <c r="I8" s="90">
        <f>G8+H8</f>
        <v>0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446.375</v>
      </c>
      <c r="D9" s="127">
        <f t="shared" ref="D9:G9" si="7">SUM(D7:D8)</f>
        <v>704.67100000000005</v>
      </c>
      <c r="E9" s="127">
        <f t="shared" si="7"/>
        <v>1379.7080000000001</v>
      </c>
      <c r="F9" s="127">
        <f t="shared" si="7"/>
        <v>2117.451</v>
      </c>
      <c r="G9" s="127">
        <f t="shared" si="7"/>
        <v>1317.9839999999999</v>
      </c>
      <c r="H9" s="127">
        <f t="shared" ref="H9" si="8">SUM(H7:H8)</f>
        <v>1317.9839999999999</v>
      </c>
      <c r="I9" s="127">
        <f t="shared" ref="I9" si="9">SUM(I7:I8)</f>
        <v>2635.9679999999998</v>
      </c>
      <c r="J9" s="127">
        <f t="shared" ref="J9" si="10">SUM(J7:J8)</f>
        <v>3057.7228799999998</v>
      </c>
      <c r="K9" s="127">
        <f t="shared" ref="K9" si="11">SUM(K7:K8)</f>
        <v>3424.6496256</v>
      </c>
      <c r="L9" s="127">
        <f t="shared" ref="L9" si="12">SUM(L7:L8)</f>
        <v>3698.6215956480005</v>
      </c>
      <c r="M9" s="127">
        <f t="shared" ref="M9" si="13">SUM(M7:M8)</f>
        <v>3920.5388913868806</v>
      </c>
      <c r="N9" s="127">
        <f t="shared" ref="N9:S9" si="14">SUM(N7:N8)</f>
        <v>4155.7712248700936</v>
      </c>
      <c r="O9" s="127">
        <f t="shared" si="14"/>
        <v>4405.1174983622996</v>
      </c>
      <c r="P9" s="127">
        <f t="shared" si="14"/>
        <v>4669.4245482640381</v>
      </c>
      <c r="Q9" s="127">
        <f t="shared" si="14"/>
        <v>4949.590021159881</v>
      </c>
      <c r="R9" s="127">
        <f t="shared" si="14"/>
        <v>5246.565422429474</v>
      </c>
      <c r="S9" s="127">
        <f t="shared" si="14"/>
        <v>5561.3593477752429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95"/>
      <c r="D12" s="95"/>
      <c r="E12" s="95"/>
      <c r="F12" s="95"/>
      <c r="G12" s="92"/>
      <c r="H12" s="92"/>
      <c r="I12" s="94"/>
      <c r="J12" s="94">
        <f>CHOOSE(Drivers!$C$3,'Revenue Energy &amp; Other'!J16,'Revenue Energy &amp; Other'!J19,'Revenue Energy &amp; Other'!J22)</f>
        <v>0.16</v>
      </c>
      <c r="K12" s="94">
        <f>CHOOSE(Drivers!$C$3,'Revenue Energy &amp; Other'!K16,'Revenue Energy &amp; Other'!K19,'Revenue Energy &amp; Other'!K22)</f>
        <v>0.12</v>
      </c>
      <c r="L12" s="94">
        <f>CHOOSE(Drivers!$C$3,'Revenue Energy &amp; Other'!L16,'Revenue Energy &amp; Other'!L19,'Revenue Energy &amp; Other'!L22)</f>
        <v>0.08</v>
      </c>
      <c r="M12" s="94">
        <f>CHOOSE(Drivers!$C$3,'Revenue Energy &amp; Other'!M16,'Revenue Energy &amp; Other'!M19,'Revenue Energy &amp; Other'!M22)</f>
        <v>0.06</v>
      </c>
      <c r="N12" s="94">
        <f>CHOOSE(Drivers!$C$3,'Revenue Energy &amp; Other'!N16,'Revenue Energy &amp; Other'!N19,'Revenue Energy &amp; Other'!N22)</f>
        <v>0.06</v>
      </c>
      <c r="O12" s="94">
        <f>CHOOSE(Drivers!$C$3,'Revenue Energy &amp; Other'!O16,'Revenue Energy &amp; Other'!O19,'Revenue Energy &amp; Other'!O22)</f>
        <v>0.06</v>
      </c>
      <c r="P12" s="94">
        <f>CHOOSE(Drivers!$C$3,'Revenue Energy &amp; Other'!P16,'Revenue Energy &amp; Other'!P19,'Revenue Energy &amp; Other'!P22)</f>
        <v>0.06</v>
      </c>
      <c r="Q12" s="94">
        <f>CHOOSE(Drivers!$C$3,'Revenue Energy &amp; Other'!Q16,'Revenue Energy &amp; Other'!Q19,'Revenue Energy &amp; Other'!Q22)</f>
        <v>0.06</v>
      </c>
      <c r="R12" s="94">
        <f>CHOOSE(Drivers!$C$3,'Revenue Energy &amp; Other'!R16,'Revenue Energy &amp; Other'!R19,'Revenue Energy &amp; Other'!R22)</f>
        <v>0.06</v>
      </c>
      <c r="S12" s="94">
        <f>CHOOSE(Drivers!$C$3,'Revenue Energy &amp; Other'!S16,'Revenue Energy &amp; Other'!S19,'Revenue Energy &amp; Other'!S22)</f>
        <v>0.06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214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>
        <f t="shared" ref="J16:N16" si="15">J19+2%</f>
        <v>0.18</v>
      </c>
      <c r="K16" s="79">
        <f t="shared" si="15"/>
        <v>0.13999999999999999</v>
      </c>
      <c r="L16" s="79">
        <f t="shared" si="15"/>
        <v>0.1</v>
      </c>
      <c r="M16" s="79">
        <f t="shared" si="15"/>
        <v>0.08</v>
      </c>
      <c r="N16" s="79">
        <f t="shared" si="15"/>
        <v>0.08</v>
      </c>
      <c r="O16" s="79">
        <f t="shared" ref="O16:S16" si="16">O19+2%</f>
        <v>0.08</v>
      </c>
      <c r="P16" s="79">
        <f t="shared" si="16"/>
        <v>0.08</v>
      </c>
      <c r="Q16" s="79">
        <f t="shared" si="16"/>
        <v>0.08</v>
      </c>
      <c r="R16" s="79">
        <f t="shared" si="16"/>
        <v>0.08</v>
      </c>
      <c r="S16" s="79">
        <f t="shared" si="16"/>
        <v>0.08</v>
      </c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</row>
    <row r="19" spans="2:19" x14ac:dyDescent="0.25">
      <c r="B19" s="92" t="s">
        <v>213</v>
      </c>
      <c r="C19" s="95"/>
      <c r="D19" s="79">
        <f>D9/C9-1</f>
        <v>0.57865247829739586</v>
      </c>
      <c r="E19" s="79">
        <f>E9/D9-1</f>
        <v>0.9579463324019295</v>
      </c>
      <c r="F19" s="79">
        <f>F9/E9-1</f>
        <v>0.53470951824588964</v>
      </c>
      <c r="G19" s="92"/>
      <c r="H19" s="92"/>
      <c r="I19" s="79"/>
      <c r="J19" s="94">
        <v>0.16</v>
      </c>
      <c r="K19" s="94">
        <v>0.12</v>
      </c>
      <c r="L19" s="94">
        <v>0.08</v>
      </c>
      <c r="M19" s="94">
        <v>0.06</v>
      </c>
      <c r="N19" s="94">
        <v>0.06</v>
      </c>
      <c r="O19" s="94">
        <v>0.06</v>
      </c>
      <c r="P19" s="94">
        <v>0.06</v>
      </c>
      <c r="Q19" s="94">
        <v>0.06</v>
      </c>
      <c r="R19" s="94">
        <v>0.06</v>
      </c>
      <c r="S19" s="94">
        <v>0.06</v>
      </c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79"/>
      <c r="J22" s="79">
        <f t="shared" ref="J22:N22" si="17">J19-2%</f>
        <v>0.14000000000000001</v>
      </c>
      <c r="K22" s="79">
        <f t="shared" si="17"/>
        <v>9.9999999999999992E-2</v>
      </c>
      <c r="L22" s="79">
        <f t="shared" si="17"/>
        <v>0.06</v>
      </c>
      <c r="M22" s="79">
        <f t="shared" si="17"/>
        <v>3.9999999999999994E-2</v>
      </c>
      <c r="N22" s="79">
        <f t="shared" si="17"/>
        <v>3.9999999999999994E-2</v>
      </c>
      <c r="O22" s="79">
        <f t="shared" ref="O22:S22" si="18">O19-2%</f>
        <v>3.9999999999999994E-2</v>
      </c>
      <c r="P22" s="79">
        <f t="shared" si="18"/>
        <v>3.9999999999999994E-2</v>
      </c>
      <c r="Q22" s="79">
        <f t="shared" si="18"/>
        <v>3.9999999999999994E-2</v>
      </c>
      <c r="R22" s="79">
        <f t="shared" si="18"/>
        <v>3.9999999999999994E-2</v>
      </c>
      <c r="S22" s="79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215</v>
      </c>
      <c r="O1" s="98" t="s">
        <v>269</v>
      </c>
    </row>
    <row r="2" spans="1:19" ht="15.6" x14ac:dyDescent="0.25">
      <c r="A2" s="1"/>
      <c r="B2" s="2"/>
    </row>
    <row r="3" spans="1:19" ht="12" x14ac:dyDescent="0.25">
      <c r="C3" s="218" t="s">
        <v>218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73">
        <f>('P&amp;L Input'!G5+'P&amp;L Input'!G9)/1000</f>
        <v>78.793999999999997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89">
        <f>('P&amp;L Input'!G6+'P&amp;L Input'!G10)/1000</f>
        <v>-233.78899999999999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20.407999999999998</v>
      </c>
      <c r="D7" s="106">
        <f t="shared" ref="D7:G7" si="0">SUM(D5:D6)</f>
        <v>5.8319999999999999</v>
      </c>
      <c r="E7" s="106">
        <f t="shared" si="0"/>
        <v>-1.4280000000000004</v>
      </c>
      <c r="F7" s="106">
        <f t="shared" si="0"/>
        <v>13.89100000000002</v>
      </c>
      <c r="G7" s="106">
        <f t="shared" si="0"/>
        <v>-154.995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(255031-176432)/1000</f>
        <v>78.599000000000004</v>
      </c>
      <c r="D8" s="89">
        <f>(399619-280791)/1000</f>
        <v>118.828</v>
      </c>
      <c r="E8" s="89">
        <f>(730342-478922)/1000</f>
        <v>251.42</v>
      </c>
      <c r="F8" s="89">
        <v>0</v>
      </c>
      <c r="G8" s="89"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99.007000000000005</v>
      </c>
      <c r="D9" s="127">
        <f>SUM(D7:D8)</f>
        <v>124.66</v>
      </c>
      <c r="E9" s="127">
        <f>SUM(E7:E8)</f>
        <v>249.99199999999999</v>
      </c>
      <c r="F9" s="127">
        <f>SUM(F7:F8)</f>
        <v>13.89100000000002</v>
      </c>
      <c r="G9" s="127">
        <f>SUM(G7:G8)</f>
        <v>-154.995</v>
      </c>
      <c r="H9" s="179" t="s">
        <v>65</v>
      </c>
      <c r="I9" s="127">
        <f>I12*'Revenue Energy &amp; Other'!I9</f>
        <v>386.47228733506643</v>
      </c>
      <c r="J9" s="127">
        <f>J12*'Revenue Energy &amp; Other'!J9</f>
        <v>448.30785330867701</v>
      </c>
      <c r="K9" s="127">
        <f>K12*'Revenue Energy &amp; Other'!K9</f>
        <v>502.10479570571829</v>
      </c>
      <c r="L9" s="127">
        <f>L12*'Revenue Energy &amp; Other'!L9</f>
        <v>542.27317936217582</v>
      </c>
      <c r="M9" s="127">
        <f>M12*'Revenue Energy &amp; Other'!M9</f>
        <v>574.80957012390638</v>
      </c>
      <c r="N9" s="127">
        <f>N12*'Revenue Energy &amp; Other'!N9</f>
        <v>609.29814433134084</v>
      </c>
      <c r="O9" s="127">
        <f>O12*'Revenue Energy &amp; Other'!O9</f>
        <v>645.85603299122135</v>
      </c>
      <c r="P9" s="127">
        <f>P12*'Revenue Energy &amp; Other'!P9</f>
        <v>684.60739497069471</v>
      </c>
      <c r="Q9" s="127">
        <f>Q12*'Revenue Energy &amp; Other'!Q9</f>
        <v>725.68383866893646</v>
      </c>
      <c r="R9" s="127">
        <f>R12*'Revenue Energy &amp; Other'!R9</f>
        <v>769.22486898907266</v>
      </c>
      <c r="S9" s="127">
        <f>S12*'Revenue Energy &amp; Other'!S9</f>
        <v>815.37836112841705</v>
      </c>
    </row>
    <row r="10" spans="1:19" ht="3" customHeight="1" x14ac:dyDescent="0.25"/>
    <row r="11" spans="1:19" x14ac:dyDescent="0.25">
      <c r="B11" s="91" t="s">
        <v>75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</row>
    <row r="12" spans="1:19" x14ac:dyDescent="0.25">
      <c r="B12" s="92" t="s">
        <v>213</v>
      </c>
      <c r="C12" s="110">
        <f>C9/'Revenue Energy &amp; Other'!C9</f>
        <v>0.22180229627555309</v>
      </c>
      <c r="D12" s="110">
        <f>D9/'Revenue Energy &amp; Other'!D9</f>
        <v>0.1769052508191766</v>
      </c>
      <c r="E12" s="110">
        <f>E9/'Revenue Energy &amp; Other'!E9</f>
        <v>0.18119196235725238</v>
      </c>
      <c r="F12" s="110">
        <f>F9/'Revenue Energy &amp; Other'!F9</f>
        <v>6.5602462583549837E-3</v>
      </c>
      <c r="G12" s="110">
        <f>G9/'Revenue Energy &amp; Other'!G9</f>
        <v>-0.11760006191273947</v>
      </c>
      <c r="H12" s="92"/>
      <c r="I12" s="94">
        <f>CHOOSE(Drivers!$C$3,'GP Energy &amp; Other'!I15,'GP Energy &amp; Other'!I18,'GP Energy &amp; Other'!I22)</f>
        <v>0.14661493892758426</v>
      </c>
      <c r="J12" s="94">
        <f>CHOOSE(Drivers!$C$3,'GP Energy &amp; Other'!J15,'GP Energy &amp; Other'!J18,'GP Energy &amp; Other'!J22)</f>
        <v>0.14661493892758426</v>
      </c>
      <c r="K12" s="94">
        <f>CHOOSE(Drivers!$C$3,'GP Energy &amp; Other'!K15,'GP Energy &amp; Other'!K18,'GP Energy &amp; Other'!K22)</f>
        <v>0.14661493892758426</v>
      </c>
      <c r="L12" s="94">
        <f>CHOOSE(Drivers!$C$3,'GP Energy &amp; Other'!L15,'GP Energy &amp; Other'!L18,'GP Energy &amp; Other'!L22)</f>
        <v>0.14661493892758426</v>
      </c>
      <c r="M12" s="94">
        <f>CHOOSE(Drivers!$C$3,'GP Energy &amp; Other'!M15,'GP Energy &amp; Other'!M18,'GP Energy &amp; Other'!M22)</f>
        <v>0.14661493892758426</v>
      </c>
      <c r="N12" s="94">
        <f>CHOOSE(Drivers!$C$3,'GP Energy &amp; Other'!N15,'GP Energy &amp; Other'!N18,'GP Energy &amp; Other'!N22)</f>
        <v>0.14661493892758426</v>
      </c>
      <c r="O12" s="94">
        <f>CHOOSE(Drivers!$C$3,'GP Energy &amp; Other'!O15,'GP Energy &amp; Other'!O18,'GP Energy &amp; Other'!O22)</f>
        <v>0.14661493892758426</v>
      </c>
      <c r="P12" s="94">
        <f>CHOOSE(Drivers!$C$3,'GP Energy &amp; Other'!P15,'GP Energy &amp; Other'!P18,'GP Energy &amp; Other'!P22)</f>
        <v>0.14661493892758426</v>
      </c>
      <c r="Q12" s="94">
        <f>CHOOSE(Drivers!$C$3,'GP Energy &amp; Other'!Q15,'GP Energy &amp; Other'!Q18,'GP Energy &amp; Other'!Q22)</f>
        <v>0.14661493892758426</v>
      </c>
      <c r="R12" s="94">
        <f>CHOOSE(Drivers!$C$3,'GP Energy &amp; Other'!R15,'GP Energy &amp; Other'!R18,'GP Energy &amp; Other'!R22)</f>
        <v>0.14661493892758426</v>
      </c>
      <c r="S12" s="94">
        <f>CHOOSE(Drivers!$C$3,'GP Energy &amp; Other'!S15,'GP Energy &amp; Other'!S18,'GP Energy &amp; Other'!S22)</f>
        <v>0.14661493892758426</v>
      </c>
    </row>
    <row r="13" spans="1:19" x14ac:dyDescent="0.25">
      <c r="B13" s="92"/>
      <c r="C13" s="95"/>
      <c r="D13" s="95"/>
      <c r="E13" s="95"/>
      <c r="F13" s="95"/>
      <c r="G13" s="92"/>
      <c r="H13" s="92"/>
      <c r="I13" s="95"/>
      <c r="J13" s="95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108" t="s">
        <v>217</v>
      </c>
      <c r="C14" s="95"/>
      <c r="D14" s="95"/>
      <c r="E14" s="95"/>
      <c r="F14" s="95"/>
      <c r="G14" s="92"/>
      <c r="H14" s="92"/>
      <c r="I14" s="95"/>
      <c r="J14" s="95"/>
      <c r="K14" s="93"/>
      <c r="L14" s="93"/>
      <c r="M14" s="93"/>
      <c r="N14" s="93"/>
      <c r="O14" s="93"/>
      <c r="P14" s="93"/>
      <c r="Q14" s="93"/>
      <c r="R14" s="93"/>
      <c r="S14" s="93"/>
    </row>
    <row r="15" spans="1:19" x14ac:dyDescent="0.25">
      <c r="B15" s="91" t="s">
        <v>71</v>
      </c>
      <c r="C15" s="92"/>
      <c r="D15" s="92"/>
      <c r="E15" s="92"/>
      <c r="F15" s="92"/>
      <c r="G15" s="92"/>
      <c r="H15" s="92"/>
      <c r="I15" s="93">
        <f>I18+2%</f>
        <v>0.16661493892758425</v>
      </c>
      <c r="J15" s="93">
        <f t="shared" ref="J15:N15" si="1">J18+2%</f>
        <v>0.16661493892758425</v>
      </c>
      <c r="K15" s="93">
        <f t="shared" si="1"/>
        <v>0.16661493892758425</v>
      </c>
      <c r="L15" s="93">
        <f t="shared" si="1"/>
        <v>0.16661493892758425</v>
      </c>
      <c r="M15" s="93">
        <f t="shared" si="1"/>
        <v>0.16661493892758425</v>
      </c>
      <c r="N15" s="93">
        <f t="shared" si="1"/>
        <v>0.16661493892758425</v>
      </c>
      <c r="O15" s="93">
        <f t="shared" ref="O15:S15" si="2">O18+2%</f>
        <v>0.16661493892758425</v>
      </c>
      <c r="P15" s="93">
        <f t="shared" si="2"/>
        <v>0.16661493892758425</v>
      </c>
      <c r="Q15" s="93">
        <f t="shared" si="2"/>
        <v>0.16661493892758425</v>
      </c>
      <c r="R15" s="93">
        <f t="shared" si="2"/>
        <v>0.16661493892758425</v>
      </c>
      <c r="S15" s="93">
        <f t="shared" si="2"/>
        <v>0.16661493892758425</v>
      </c>
    </row>
    <row r="16" spans="1:19" x14ac:dyDescent="0.25">
      <c r="B16" s="92" t="s">
        <v>213</v>
      </c>
      <c r="C16" s="95"/>
      <c r="D16" s="79"/>
      <c r="E16" s="79"/>
      <c r="F16" s="79"/>
      <c r="G16" s="92"/>
      <c r="H16" s="9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 x14ac:dyDescent="0.25">
      <c r="B17" s="92"/>
      <c r="C17" s="95"/>
      <c r="D17" s="95"/>
      <c r="E17" s="95"/>
      <c r="F17" s="95"/>
      <c r="G17" s="92"/>
      <c r="H17" s="92"/>
      <c r="I17" s="95"/>
      <c r="J17" s="95"/>
      <c r="K17" s="93"/>
      <c r="L17" s="93"/>
      <c r="M17" s="93"/>
      <c r="N17" s="93"/>
      <c r="O17" s="93"/>
      <c r="P17" s="93"/>
      <c r="Q17" s="93"/>
      <c r="R17" s="93"/>
      <c r="S17" s="93"/>
    </row>
    <row r="18" spans="2:19" x14ac:dyDescent="0.25">
      <c r="B18" s="91" t="s">
        <v>72</v>
      </c>
      <c r="C18" s="92"/>
      <c r="D18" s="92"/>
      <c r="E18" s="92"/>
      <c r="F18" s="92"/>
      <c r="G18" s="92"/>
      <c r="H18" s="92"/>
      <c r="I18" s="93">
        <f>AVERAGE($C$12:$F$12)</f>
        <v>0.14661493892758426</v>
      </c>
      <c r="J18" s="93">
        <f t="shared" ref="J18:S18" si="3">AVERAGE($C$12:$F$12)</f>
        <v>0.14661493892758426</v>
      </c>
      <c r="K18" s="93">
        <f t="shared" si="3"/>
        <v>0.14661493892758426</v>
      </c>
      <c r="L18" s="93">
        <f t="shared" si="3"/>
        <v>0.14661493892758426</v>
      </c>
      <c r="M18" s="93">
        <f t="shared" si="3"/>
        <v>0.14661493892758426</v>
      </c>
      <c r="N18" s="93">
        <f t="shared" si="3"/>
        <v>0.14661493892758426</v>
      </c>
      <c r="O18" s="93">
        <f t="shared" si="3"/>
        <v>0.14661493892758426</v>
      </c>
      <c r="P18" s="93">
        <f t="shared" si="3"/>
        <v>0.14661493892758426</v>
      </c>
      <c r="Q18" s="93">
        <f t="shared" si="3"/>
        <v>0.14661493892758426</v>
      </c>
      <c r="R18" s="93">
        <f t="shared" si="3"/>
        <v>0.14661493892758426</v>
      </c>
      <c r="S18" s="93">
        <f t="shared" si="3"/>
        <v>0.14661493892758426</v>
      </c>
    </row>
    <row r="19" spans="2:19" x14ac:dyDescent="0.25">
      <c r="B19" s="92" t="s">
        <v>213</v>
      </c>
      <c r="C19" s="95"/>
      <c r="D19" s="79"/>
      <c r="E19" s="79"/>
      <c r="F19" s="79"/>
      <c r="G19" s="92"/>
      <c r="H19" s="92"/>
      <c r="I19" s="79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 spans="2:19" x14ac:dyDescent="0.25">
      <c r="B20" s="92"/>
      <c r="C20" s="95"/>
      <c r="D20" s="95"/>
      <c r="E20" s="95"/>
      <c r="F20" s="95"/>
      <c r="G20" s="92"/>
      <c r="H20" s="92"/>
      <c r="I20" s="95"/>
      <c r="J20" s="95"/>
      <c r="K20" s="93"/>
      <c r="L20" s="93"/>
      <c r="M20" s="93"/>
      <c r="N20" s="93"/>
      <c r="O20" s="93"/>
      <c r="P20" s="93"/>
      <c r="Q20" s="93"/>
      <c r="R20" s="93"/>
      <c r="S20" s="93"/>
    </row>
    <row r="21" spans="2:19" x14ac:dyDescent="0.25">
      <c r="B21" s="91" t="s">
        <v>73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</row>
    <row r="22" spans="2:19" x14ac:dyDescent="0.25">
      <c r="B22" s="92" t="s">
        <v>213</v>
      </c>
      <c r="C22" s="95"/>
      <c r="D22" s="79"/>
      <c r="E22" s="79"/>
      <c r="F22" s="79"/>
      <c r="G22" s="92"/>
      <c r="H22" s="92"/>
      <c r="I22" s="93">
        <f>I18-2%</f>
        <v>0.12661493892758427</v>
      </c>
      <c r="J22" s="93">
        <f t="shared" ref="J22:N22" si="4">J18-2%</f>
        <v>0.12661493892758427</v>
      </c>
      <c r="K22" s="93">
        <f t="shared" si="4"/>
        <v>0.12661493892758427</v>
      </c>
      <c r="L22" s="93">
        <f t="shared" si="4"/>
        <v>0.12661493892758427</v>
      </c>
      <c r="M22" s="93">
        <f t="shared" si="4"/>
        <v>0.12661493892758427</v>
      </c>
      <c r="N22" s="93">
        <f t="shared" si="4"/>
        <v>0.12661493892758427</v>
      </c>
      <c r="O22" s="93">
        <f t="shared" ref="O22:S22" si="5">O18-2%</f>
        <v>0.12661493892758427</v>
      </c>
      <c r="P22" s="93">
        <f t="shared" si="5"/>
        <v>0.12661493892758427</v>
      </c>
      <c r="Q22" s="93">
        <f t="shared" si="5"/>
        <v>0.12661493892758427</v>
      </c>
      <c r="R22" s="93">
        <f t="shared" si="5"/>
        <v>0.12661493892758427</v>
      </c>
      <c r="S22" s="93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309</v>
      </c>
      <c r="C4" s="113" t="s">
        <v>195</v>
      </c>
      <c r="E4" s="4"/>
      <c r="F4" s="4"/>
    </row>
    <row r="5" spans="1:6" x14ac:dyDescent="0.25">
      <c r="B5" s="8" t="s">
        <v>190</v>
      </c>
      <c r="C5" s="99" t="s">
        <v>191</v>
      </c>
    </row>
    <row r="6" spans="1:6" x14ac:dyDescent="0.25">
      <c r="B6" s="8" t="s">
        <v>192</v>
      </c>
      <c r="C6" s="99" t="s">
        <v>193</v>
      </c>
    </row>
    <row r="7" spans="1:6" x14ac:dyDescent="0.25">
      <c r="B7" s="8" t="s">
        <v>310</v>
      </c>
      <c r="C7" s="100">
        <v>3.0700000000000002E-2</v>
      </c>
    </row>
    <row r="8" spans="1:6" x14ac:dyDescent="0.25">
      <c r="B8" s="8" t="s">
        <v>194</v>
      </c>
      <c r="C8" s="34">
        <v>0.05</v>
      </c>
    </row>
    <row r="9" spans="1:6" x14ac:dyDescent="0.25">
      <c r="B9" s="8" t="s">
        <v>311</v>
      </c>
      <c r="C9" s="8">
        <v>0.78</v>
      </c>
    </row>
    <row r="10" spans="1:6" x14ac:dyDescent="0.25">
      <c r="B10" s="8" t="s">
        <v>312</v>
      </c>
      <c r="C10" s="8">
        <v>307.8</v>
      </c>
    </row>
    <row r="11" spans="1:6" x14ac:dyDescent="0.2">
      <c r="B11" s="20" t="s">
        <v>313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161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250</v>
      </c>
    </row>
    <row r="2" spans="1:19" ht="15.6" x14ac:dyDescent="0.25">
      <c r="A2" s="1"/>
      <c r="B2" s="2"/>
    </row>
    <row r="3" spans="1:19" ht="12" x14ac:dyDescent="0.25">
      <c r="C3" s="218" t="s">
        <v>298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73">
        <f>-('Revenue Energy &amp; Other'!G5-'GP Energy &amp; Other'!G5)</f>
        <v>-705.63599999999997</v>
      </c>
      <c r="H5" s="74" t="s">
        <v>65</v>
      </c>
      <c r="I5" s="74" t="s">
        <v>65</v>
      </c>
      <c r="J5" s="74" t="s">
        <v>65</v>
      </c>
      <c r="K5" s="74" t="s">
        <v>65</v>
      </c>
      <c r="L5" s="74" t="s">
        <v>65</v>
      </c>
      <c r="M5" s="74" t="s">
        <v>65</v>
      </c>
      <c r="N5" s="74" t="s">
        <v>65</v>
      </c>
      <c r="O5" s="74" t="s">
        <v>65</v>
      </c>
      <c r="P5" s="74" t="s">
        <v>65</v>
      </c>
      <c r="Q5" s="74" t="s">
        <v>65</v>
      </c>
      <c r="R5" s="74" t="s">
        <v>65</v>
      </c>
      <c r="S5" s="74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89">
        <f>-('Revenue Energy &amp; Other'!G6-'GP Energy &amp; Other'!G6)</f>
        <v>-767.34299999999996</v>
      </c>
      <c r="H6" s="74" t="s">
        <v>65</v>
      </c>
      <c r="I6" s="74" t="s">
        <v>65</v>
      </c>
      <c r="J6" s="74" t="s">
        <v>65</v>
      </c>
      <c r="K6" s="74" t="s">
        <v>65</v>
      </c>
      <c r="L6" s="74" t="s">
        <v>65</v>
      </c>
      <c r="M6" s="74" t="s">
        <v>65</v>
      </c>
      <c r="N6" s="74" t="s">
        <v>65</v>
      </c>
      <c r="O6" s="74" t="s">
        <v>65</v>
      </c>
      <c r="P6" s="74" t="s">
        <v>65</v>
      </c>
      <c r="Q6" s="74" t="s">
        <v>65</v>
      </c>
      <c r="R6" s="74" t="s">
        <v>65</v>
      </c>
      <c r="S6" s="74" t="s">
        <v>65</v>
      </c>
    </row>
    <row r="7" spans="1:19" ht="12" x14ac:dyDescent="0.25">
      <c r="B7" s="9" t="s">
        <v>213</v>
      </c>
      <c r="C7" s="106">
        <f>SUM(C5:C6)</f>
        <v>-170.93599999999998</v>
      </c>
      <c r="D7" s="106">
        <f t="shared" ref="D7:G7" si="0">SUM(D5:D6)</f>
        <v>-299.21999999999997</v>
      </c>
      <c r="E7" s="106">
        <f t="shared" si="0"/>
        <v>-650.79399999999998</v>
      </c>
      <c r="F7" s="106">
        <f t="shared" si="0"/>
        <v>-2103.56</v>
      </c>
      <c r="G7" s="106">
        <f t="shared" si="0"/>
        <v>-1472.9789999999998</v>
      </c>
      <c r="H7" s="76" t="s">
        <v>65</v>
      </c>
      <c r="I7" s="76" t="s">
        <v>65</v>
      </c>
      <c r="J7" s="76" t="s">
        <v>65</v>
      </c>
      <c r="K7" s="76" t="s">
        <v>65</v>
      </c>
      <c r="L7" s="76" t="s">
        <v>65</v>
      </c>
      <c r="M7" s="76" t="s">
        <v>65</v>
      </c>
      <c r="N7" s="76" t="s">
        <v>65</v>
      </c>
      <c r="O7" s="76" t="s">
        <v>65</v>
      </c>
      <c r="P7" s="76" t="s">
        <v>65</v>
      </c>
      <c r="Q7" s="76" t="s">
        <v>65</v>
      </c>
      <c r="R7" s="76" t="s">
        <v>65</v>
      </c>
      <c r="S7" s="76" t="s">
        <v>65</v>
      </c>
    </row>
    <row r="8" spans="1:19" x14ac:dyDescent="0.25">
      <c r="B8" s="8" t="s">
        <v>219</v>
      </c>
      <c r="C8" s="109">
        <f>-('Revenue Energy &amp; Other'!C8-'GP Energy &amp; Other'!C8)</f>
        <v>-176.43200000000002</v>
      </c>
      <c r="D8" s="89">
        <f>-('Revenue Energy &amp; Other'!D8-'GP Energy &amp; Other'!D8)</f>
        <v>-280.79100000000005</v>
      </c>
      <c r="E8" s="89">
        <f>-('Revenue Energy &amp; Other'!E8-'GP Energy &amp; Other'!E8)</f>
        <v>-478.92200000000003</v>
      </c>
      <c r="F8" s="89">
        <f>-('Revenue Energy &amp; Other'!F8-'GP Energy &amp; Other'!F8)</f>
        <v>0</v>
      </c>
      <c r="G8" s="89">
        <f>-('Revenue Energy &amp; Other'!G8-'GP Energy &amp; Other'!G8)</f>
        <v>0</v>
      </c>
      <c r="H8" s="74" t="s">
        <v>65</v>
      </c>
      <c r="I8" s="74" t="s">
        <v>65</v>
      </c>
      <c r="J8" s="74" t="s">
        <v>65</v>
      </c>
      <c r="K8" s="74" t="s">
        <v>65</v>
      </c>
      <c r="L8" s="74" t="s">
        <v>65</v>
      </c>
      <c r="M8" s="74" t="s">
        <v>65</v>
      </c>
      <c r="N8" s="74" t="s">
        <v>65</v>
      </c>
      <c r="O8" s="74" t="s">
        <v>65</v>
      </c>
      <c r="P8" s="74" t="s">
        <v>65</v>
      </c>
      <c r="Q8" s="74" t="s">
        <v>65</v>
      </c>
      <c r="R8" s="74" t="s">
        <v>65</v>
      </c>
      <c r="S8" s="74" t="s">
        <v>65</v>
      </c>
    </row>
    <row r="9" spans="1:19" ht="12.6" thickBot="1" x14ac:dyDescent="0.3">
      <c r="B9" s="116" t="s">
        <v>220</v>
      </c>
      <c r="C9" s="127">
        <f>SUM(C7:C8)</f>
        <v>-347.36799999999999</v>
      </c>
      <c r="D9" s="127">
        <f>SUM(D7:D8)</f>
        <v>-580.01099999999997</v>
      </c>
      <c r="E9" s="127">
        <f>SUM(E7:E8)</f>
        <v>-1129.7159999999999</v>
      </c>
      <c r="F9" s="127">
        <f>SUM(F7:F8)</f>
        <v>-2103.56</v>
      </c>
      <c r="G9" s="127">
        <f>SUM(G7:G8)</f>
        <v>-1472.9789999999998</v>
      </c>
      <c r="H9" s="179">
        <f>I9-G9</f>
        <v>-776.51671266493349</v>
      </c>
      <c r="I9" s="127">
        <f>-('Revenue Energy &amp; Other'!I9-'GP Energy &amp; Other'!I9)</f>
        <v>-2249.4957126649333</v>
      </c>
      <c r="J9" s="127">
        <f>-('Revenue Energy &amp; Other'!J9-'GP Energy &amp; Other'!J9)</f>
        <v>-2609.415026691323</v>
      </c>
      <c r="K9" s="127">
        <f>-('Revenue Energy &amp; Other'!K9-'GP Energy &amp; Other'!K9)</f>
        <v>-2922.544829894282</v>
      </c>
      <c r="L9" s="127">
        <f>-('Revenue Energy &amp; Other'!L9-'GP Energy &amp; Other'!L9)</f>
        <v>-3156.3484162858249</v>
      </c>
      <c r="M9" s="127">
        <f>-('Revenue Energy &amp; Other'!M9-'GP Energy &amp; Other'!M9)</f>
        <v>-3345.7293212629743</v>
      </c>
      <c r="N9" s="127">
        <f>-('Revenue Energy &amp; Other'!N9-'GP Energy &amp; Other'!N9)</f>
        <v>-3546.4730805387526</v>
      </c>
      <c r="O9" s="127">
        <f>-('Revenue Energy &amp; Other'!O9-'GP Energy &amp; Other'!O9)</f>
        <v>-3759.261465371078</v>
      </c>
      <c r="P9" s="127">
        <f>-('Revenue Energy &amp; Other'!P9-'GP Energy &amp; Other'!P9)</f>
        <v>-3984.8171532933434</v>
      </c>
      <c r="Q9" s="127">
        <f>-('Revenue Energy &amp; Other'!Q9-'GP Energy &amp; Other'!Q9)</f>
        <v>-4223.906182490944</v>
      </c>
      <c r="R9" s="127">
        <f>-('Revenue Energy &amp; Other'!R9-'GP Energy &amp; Other'!R9)</f>
        <v>-4477.340553440401</v>
      </c>
      <c r="S9" s="127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246</v>
      </c>
    </row>
    <row r="2" spans="1:6" ht="15.6" x14ac:dyDescent="0.25">
      <c r="A2" s="1"/>
      <c r="B2" s="2"/>
    </row>
    <row r="3" spans="1:6" ht="13.2" x14ac:dyDescent="0.25">
      <c r="A3" s="1"/>
      <c r="B3" s="102" t="s">
        <v>274</v>
      </c>
    </row>
    <row r="5" spans="1:6" x14ac:dyDescent="0.25">
      <c r="F5" s="8" t="s">
        <v>201</v>
      </c>
    </row>
    <row r="6" spans="1:6" ht="12" x14ac:dyDescent="0.25">
      <c r="B6" s="36" t="s">
        <v>309</v>
      </c>
      <c r="C6" s="62" t="s">
        <v>198</v>
      </c>
      <c r="D6" s="62" t="s">
        <v>234</v>
      </c>
    </row>
    <row r="7" spans="1:6" x14ac:dyDescent="0.25">
      <c r="B7" s="8" t="s">
        <v>223</v>
      </c>
      <c r="C7" s="111">
        <f>(9575+11128)/145588</f>
        <v>0.14220265406489546</v>
      </c>
      <c r="D7" s="113">
        <f t="shared" ref="D7:D11" si="0">C7</f>
        <v>0.14220265406489546</v>
      </c>
    </row>
    <row r="8" spans="1:6" x14ac:dyDescent="0.25">
      <c r="B8" s="8" t="s">
        <v>224</v>
      </c>
      <c r="C8" s="113">
        <f>(11842+6878)/144077</f>
        <v>0.12993052326186691</v>
      </c>
      <c r="D8" s="113">
        <f t="shared" si="0"/>
        <v>0.12993052326186691</v>
      </c>
    </row>
    <row r="9" spans="1:6" x14ac:dyDescent="0.25">
      <c r="B9" s="8" t="s">
        <v>225</v>
      </c>
      <c r="C9" s="113">
        <f>(3230+7385)/110934</f>
        <v>9.5687525916310592E-2</v>
      </c>
      <c r="D9" s="113">
        <f t="shared" si="0"/>
        <v>9.5687525916310592E-2</v>
      </c>
    </row>
    <row r="10" spans="1:6" x14ac:dyDescent="0.25">
      <c r="B10" s="8" t="s">
        <v>226</v>
      </c>
      <c r="C10" s="113">
        <f>(9560+1214-720)/98678</f>
        <v>0.10188694541843167</v>
      </c>
      <c r="D10" s="113">
        <f t="shared" si="0"/>
        <v>0.10188694541843167</v>
      </c>
    </row>
    <row r="11" spans="1:6" x14ac:dyDescent="0.25">
      <c r="B11" s="8" t="s">
        <v>227</v>
      </c>
      <c r="C11" s="113">
        <f>(12259+8254+22710-14500)/230682</f>
        <v>0.1245133993983059</v>
      </c>
      <c r="D11" s="113">
        <f t="shared" si="0"/>
        <v>0.1245133993983059</v>
      </c>
    </row>
    <row r="12" spans="1:6" x14ac:dyDescent="0.25">
      <c r="B12" s="129" t="s">
        <v>228</v>
      </c>
      <c r="C12" s="114">
        <f>(-379+5376+2490)/24339</f>
        <v>0.30761329553391675</v>
      </c>
      <c r="D12" s="114"/>
    </row>
    <row r="13" spans="1:6" x14ac:dyDescent="0.25">
      <c r="B13" s="8" t="s">
        <v>229</v>
      </c>
      <c r="C13" s="113">
        <f>(917-1366+1041+1883)/23491</f>
        <v>0.10535949938274233</v>
      </c>
      <c r="D13" s="113">
        <f>C13</f>
        <v>0.10535949938274233</v>
      </c>
    </row>
    <row r="14" spans="1:6" x14ac:dyDescent="0.25">
      <c r="B14" s="129" t="s">
        <v>230</v>
      </c>
      <c r="C14" s="114">
        <f>(329065+657119)/3416890</f>
        <v>0.28862035359639904</v>
      </c>
      <c r="D14" s="114"/>
    </row>
    <row r="15" spans="1:6" x14ac:dyDescent="0.25">
      <c r="B15" s="8" t="s">
        <v>231</v>
      </c>
      <c r="C15" s="113">
        <f>(6587+9934+1794)/119713</f>
        <v>0.15299090324359091</v>
      </c>
      <c r="D15" s="113">
        <f>C15</f>
        <v>0.15299090324359091</v>
      </c>
    </row>
    <row r="16" spans="1:6" x14ac:dyDescent="0.25">
      <c r="B16" s="8" t="s">
        <v>232</v>
      </c>
      <c r="C16" s="113">
        <f>(364+770+1626-655)/14342</f>
        <v>0.14677171942546369</v>
      </c>
      <c r="D16" s="113">
        <f>C16</f>
        <v>0.14677171942546369</v>
      </c>
    </row>
    <row r="17" spans="2:4" x14ac:dyDescent="0.25">
      <c r="B17" s="129" t="s">
        <v>233</v>
      </c>
      <c r="C17" s="114">
        <f>(264.7+449.5)/18187.5</f>
        <v>3.9268728522336774E-2</v>
      </c>
      <c r="D17" s="114"/>
    </row>
    <row r="18" spans="2:4" ht="12" x14ac:dyDescent="0.25">
      <c r="B18" s="9" t="s">
        <v>198</v>
      </c>
      <c r="C18" s="115">
        <f>AVERAGE(C7:C17)</f>
        <v>0.14862232252402363</v>
      </c>
      <c r="D18" s="115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18" t="s">
        <v>236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73">
        <f>'Revenue Energy &amp; Other'!G9+'Revenue automotive'!G11</f>
        <v>7410.982</v>
      </c>
      <c r="H5" s="74">
        <f>'Revenue Energy &amp; Other'!H9+'Revenue automotive'!H11</f>
        <v>10577.234</v>
      </c>
      <c r="I5" s="74">
        <f>G5+H5</f>
        <v>17988.216</v>
      </c>
      <c r="J5" s="74">
        <f>'Revenue Energy &amp; Other'!J9+'Revenue automotive'!J11</f>
        <v>23056.672880000002</v>
      </c>
      <c r="K5" s="74">
        <f>'Revenue Energy &amp; Other'!K9+'Revenue automotive'!K11</f>
        <v>41514.780577980957</v>
      </c>
      <c r="L5" s="74">
        <f>'Revenue Energy &amp; Other'!L9+'Revenue automotive'!L11</f>
        <v>55124.434679548234</v>
      </c>
      <c r="M5" s="74">
        <f>'Revenue Energy &amp; Other'!M9+'Revenue automotive'!M11</f>
        <v>71183.609225627253</v>
      </c>
      <c r="N5" s="74">
        <f>'Revenue Energy &amp; Other'!N9+'Revenue automotive'!N11</f>
        <v>76330.390080534518</v>
      </c>
      <c r="O5" s="74">
        <f>'Revenue Energy &amp; Other'!O9+'Revenue automotive'!O11</f>
        <v>81914.432877353174</v>
      </c>
      <c r="P5" s="74">
        <f>'Revenue Energy &amp; Other'!P9+'Revenue automotive'!P11</f>
        <v>85059.345517147638</v>
      </c>
      <c r="Q5" s="74">
        <f>'Revenue Energy &amp; Other'!Q9+'Revenue automotive'!Q11</f>
        <v>88344.249655849737</v>
      </c>
      <c r="R5" s="74">
        <f>'Revenue Energy &amp; Other'!R9+'Revenue automotive'!R11</f>
        <v>90309.118249813109</v>
      </c>
      <c r="S5" s="74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112">
        <f>H10</f>
        <v>-0.26482586288194604</v>
      </c>
      <c r="I6" s="74"/>
      <c r="J6" s="112">
        <f>J10</f>
        <v>-0.12491789626395092</v>
      </c>
      <c r="K6" s="112">
        <f t="shared" ref="K6:S6" si="1">K10</f>
        <v>-0.12491789626395092</v>
      </c>
      <c r="L6" s="112">
        <f t="shared" si="1"/>
        <v>-0.12491789626395092</v>
      </c>
      <c r="M6" s="112">
        <f t="shared" si="1"/>
        <v>-0.12491789626395092</v>
      </c>
      <c r="N6" s="112">
        <f t="shared" si="1"/>
        <v>-0.12491789626395092</v>
      </c>
      <c r="O6" s="112">
        <f t="shared" si="1"/>
        <v>-0.12491789626395092</v>
      </c>
      <c r="P6" s="112">
        <f t="shared" si="1"/>
        <v>-0.12491789626395092</v>
      </c>
      <c r="Q6" s="112">
        <f t="shared" si="1"/>
        <v>-0.12491789626395092</v>
      </c>
      <c r="R6" s="112">
        <f t="shared" si="1"/>
        <v>-0.12491789626395092</v>
      </c>
      <c r="S6" s="112">
        <f t="shared" si="1"/>
        <v>-0.12491789626395092</v>
      </c>
    </row>
    <row r="7" spans="1:19" ht="12" x14ac:dyDescent="0.25">
      <c r="B7" s="106" t="s">
        <v>78</v>
      </c>
      <c r="C7" s="106">
        <f>('P&amp;L Input'!C12+'P&amp;L Input'!C13+'P&amp;L Input'!C14)/1000</f>
        <v>-1068.3599999999999</v>
      </c>
      <c r="D7" s="106">
        <f>('P&amp;L Input'!D12+'P&amp;L Input'!D13+'P&amp;L Input'!D14)/1000</f>
        <v>-1640.1320000000001</v>
      </c>
      <c r="E7" s="106">
        <f>('P&amp;L Input'!E12+'P&amp;L Input'!E13+'P&amp;L Input'!E14)/1000</f>
        <v>-2266.5970000000002</v>
      </c>
      <c r="F7" s="106">
        <f>('P&amp;L Input'!F12+'P&amp;L Input'!F13+'P&amp;L Input'!F14)/1000</f>
        <v>-3854.5729999999999</v>
      </c>
      <c r="G7" s="106">
        <f>('P&amp;L Input'!G12+'P&amp;L Input'!G13+'P&amp;L Input'!G14)/1000</f>
        <v>-2293.8220000000001</v>
      </c>
      <c r="H7" s="76">
        <f>H5*H6</f>
        <v>-2801.1251209542579</v>
      </c>
      <c r="I7" s="76">
        <f>G7+H7</f>
        <v>-5094.947120954258</v>
      </c>
      <c r="J7" s="76">
        <f>J5*J6</f>
        <v>-2880.1910710156908</v>
      </c>
      <c r="K7" s="76">
        <f t="shared" ref="K7:S7" si="2">K5*K6</f>
        <v>-5185.9390536609098</v>
      </c>
      <c r="L7" s="76">
        <f t="shared" si="2"/>
        <v>-6886.0284129087449</v>
      </c>
      <c r="M7" s="76">
        <f t="shared" si="2"/>
        <v>-8892.1067129405255</v>
      </c>
      <c r="N7" s="76">
        <f t="shared" si="2"/>
        <v>-9535.0317498671193</v>
      </c>
      <c r="O7" s="76">
        <f t="shared" si="2"/>
        <v>-10232.578628693575</v>
      </c>
      <c r="P7" s="76">
        <f t="shared" si="2"/>
        <v>-10625.434499590607</v>
      </c>
      <c r="Q7" s="76">
        <f t="shared" si="2"/>
        <v>-11035.77781402602</v>
      </c>
      <c r="R7" s="76">
        <f t="shared" si="2"/>
        <v>-11281.225065219031</v>
      </c>
      <c r="S7" s="76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91" t="s">
        <v>75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</row>
    <row r="10" spans="1:19" x14ac:dyDescent="0.25">
      <c r="B10" s="92" t="s">
        <v>235</v>
      </c>
      <c r="C10" s="110"/>
      <c r="D10" s="110"/>
      <c r="E10" s="110"/>
      <c r="F10" s="110"/>
      <c r="G10" s="92"/>
      <c r="H10" s="94">
        <f>CHOOSE(Drivers!$C$3,Opex!H14,Opex!H17,Opex!H20)</f>
        <v>-0.26482586288194604</v>
      </c>
      <c r="I10" s="94"/>
      <c r="J10" s="94">
        <f>CHOOSE(Drivers!$C$3,Opex!J14,Opex!J17,Opex!J20)</f>
        <v>-0.12491789626395092</v>
      </c>
      <c r="K10" s="94">
        <f>CHOOSE(Drivers!$C$3,Opex!K14,Opex!K17,Opex!K20)</f>
        <v>-0.12491789626395092</v>
      </c>
      <c r="L10" s="94">
        <f>CHOOSE(Drivers!$C$3,Opex!L14,Opex!L17,Opex!L20)</f>
        <v>-0.12491789626395092</v>
      </c>
      <c r="M10" s="94">
        <f>CHOOSE(Drivers!$C$3,Opex!M14,Opex!M17,Opex!M20)</f>
        <v>-0.12491789626395092</v>
      </c>
      <c r="N10" s="94">
        <f>CHOOSE(Drivers!$C$3,Opex!N14,Opex!N17,Opex!N20)</f>
        <v>-0.12491789626395092</v>
      </c>
      <c r="O10" s="94">
        <f>CHOOSE(Drivers!$C$3,Opex!O14,Opex!O17,Opex!O20)</f>
        <v>-0.12491789626395092</v>
      </c>
      <c r="P10" s="94">
        <f>CHOOSE(Drivers!$C$3,Opex!P14,Opex!P17,Opex!P20)</f>
        <v>-0.12491789626395092</v>
      </c>
      <c r="Q10" s="94">
        <f>CHOOSE(Drivers!$C$3,Opex!Q14,Opex!Q17,Opex!Q20)</f>
        <v>-0.12491789626395092</v>
      </c>
      <c r="R10" s="94">
        <f>CHOOSE(Drivers!$C$3,Opex!R14,Opex!R17,Opex!R20)</f>
        <v>-0.12491789626395092</v>
      </c>
      <c r="S10" s="94">
        <f>CHOOSE(Drivers!$C$3,Opex!S14,Opex!S17,Opex!S20)</f>
        <v>-0.12491789626395092</v>
      </c>
    </row>
    <row r="11" spans="1:19" x14ac:dyDescent="0.25">
      <c r="B11" s="92"/>
      <c r="C11" s="95"/>
      <c r="D11" s="95"/>
      <c r="E11" s="95"/>
      <c r="F11" s="95"/>
      <c r="G11" s="92"/>
      <c r="H11" s="92"/>
      <c r="I11" s="95"/>
      <c r="J11" s="95"/>
      <c r="K11" s="93"/>
      <c r="L11" s="93"/>
      <c r="M11" s="93"/>
      <c r="N11" s="93"/>
      <c r="O11" s="93"/>
      <c r="P11" s="93"/>
      <c r="Q11" s="93"/>
      <c r="R11" s="93"/>
      <c r="S11" s="93"/>
    </row>
    <row r="12" spans="1:19" x14ac:dyDescent="0.25">
      <c r="B12" s="108" t="s">
        <v>222</v>
      </c>
      <c r="C12" s="95"/>
      <c r="D12" s="95"/>
      <c r="E12" s="95"/>
      <c r="F12" s="95"/>
      <c r="G12" s="92"/>
      <c r="H12" s="92"/>
      <c r="I12" s="95"/>
      <c r="J12" s="95"/>
      <c r="K12" s="93"/>
      <c r="L12" s="93"/>
      <c r="M12" s="93"/>
      <c r="N12" s="93"/>
      <c r="O12" s="93"/>
      <c r="P12" s="93"/>
      <c r="Q12" s="93"/>
      <c r="R12" s="93"/>
      <c r="S12" s="93"/>
    </row>
    <row r="13" spans="1:19" x14ac:dyDescent="0.25">
      <c r="B13" s="91" t="s">
        <v>71</v>
      </c>
      <c r="C13" s="92"/>
      <c r="D13" s="92"/>
      <c r="E13" s="92"/>
      <c r="F13" s="92"/>
      <c r="G13" s="92"/>
      <c r="H13" s="92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</row>
    <row r="14" spans="1:19" x14ac:dyDescent="0.25">
      <c r="B14" s="92" t="s">
        <v>235</v>
      </c>
      <c r="C14" s="95"/>
      <c r="D14" s="79"/>
      <c r="E14" s="79"/>
      <c r="F14" s="79"/>
      <c r="G14" s="92"/>
      <c r="H14" s="94">
        <f>H17+3%</f>
        <v>-0.23482586288194604</v>
      </c>
      <c r="I14" s="79"/>
      <c r="J14" s="94">
        <f>J17+2%</f>
        <v>-0.10491789626395091</v>
      </c>
      <c r="K14" s="94">
        <f t="shared" ref="K14:S14" si="3">K17+2%</f>
        <v>-0.10491789626395091</v>
      </c>
      <c r="L14" s="94">
        <f t="shared" si="3"/>
        <v>-0.10491789626395091</v>
      </c>
      <c r="M14" s="94">
        <f t="shared" si="3"/>
        <v>-0.10491789626395091</v>
      </c>
      <c r="N14" s="94">
        <f t="shared" si="3"/>
        <v>-0.10491789626395091</v>
      </c>
      <c r="O14" s="94">
        <f t="shared" si="3"/>
        <v>-0.10491789626395091</v>
      </c>
      <c r="P14" s="94">
        <f t="shared" si="3"/>
        <v>-0.10491789626395091</v>
      </c>
      <c r="Q14" s="94">
        <f t="shared" si="3"/>
        <v>-0.10491789626395091</v>
      </c>
      <c r="R14" s="94">
        <f t="shared" si="3"/>
        <v>-0.10491789626395091</v>
      </c>
      <c r="S14" s="94">
        <f t="shared" si="3"/>
        <v>-0.10491789626395091</v>
      </c>
    </row>
    <row r="15" spans="1:19" x14ac:dyDescent="0.25">
      <c r="B15" s="92"/>
      <c r="C15" s="95"/>
      <c r="D15" s="95"/>
      <c r="E15" s="95"/>
      <c r="F15" s="95"/>
      <c r="G15" s="92"/>
      <c r="H15" s="92"/>
      <c r="I15" s="95"/>
      <c r="J15" s="95"/>
      <c r="K15" s="93"/>
      <c r="L15" s="93"/>
      <c r="M15" s="93"/>
      <c r="N15" s="93"/>
      <c r="O15" s="93"/>
      <c r="P15" s="93"/>
      <c r="Q15" s="93"/>
      <c r="R15" s="93"/>
      <c r="S15" s="93"/>
    </row>
    <row r="16" spans="1:19" x14ac:dyDescent="0.25">
      <c r="B16" s="91" t="s">
        <v>72</v>
      </c>
      <c r="C16" s="92"/>
      <c r="D16" s="92"/>
      <c r="E16" s="92"/>
      <c r="F16" s="92"/>
      <c r="G16" s="92"/>
      <c r="H16" s="92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</row>
    <row r="17" spans="2:19" x14ac:dyDescent="0.25">
      <c r="B17" s="92" t="s">
        <v>235</v>
      </c>
      <c r="C17" s="95"/>
      <c r="D17" s="79"/>
      <c r="E17" s="79"/>
      <c r="F17" s="79"/>
      <c r="G17" s="92"/>
      <c r="H17" s="94">
        <f>AVERAGE($C$6:$F$6)+6%</f>
        <v>-0.26482586288194604</v>
      </c>
      <c r="I17" s="79"/>
      <c r="J17" s="94">
        <f>-'Opex comparables'!$D$18</f>
        <v>-0.12491789626395092</v>
      </c>
      <c r="K17" s="94">
        <f>-'Opex comparables'!$D$18</f>
        <v>-0.12491789626395092</v>
      </c>
      <c r="L17" s="94">
        <f>-'Opex comparables'!$D$18</f>
        <v>-0.12491789626395092</v>
      </c>
      <c r="M17" s="94">
        <f>-'Opex comparables'!$D$18</f>
        <v>-0.12491789626395092</v>
      </c>
      <c r="N17" s="94">
        <f>-'Opex comparables'!$D$18</f>
        <v>-0.12491789626395092</v>
      </c>
      <c r="O17" s="94">
        <f>-'Opex comparables'!$D$18</f>
        <v>-0.12491789626395092</v>
      </c>
      <c r="P17" s="94">
        <f>-'Opex comparables'!$D$18</f>
        <v>-0.12491789626395092</v>
      </c>
      <c r="Q17" s="94">
        <f>-'Opex comparables'!$D$18</f>
        <v>-0.12491789626395092</v>
      </c>
      <c r="R17" s="94">
        <f>-'Opex comparables'!$D$18</f>
        <v>-0.12491789626395092</v>
      </c>
      <c r="S17" s="94">
        <f>-'Opex comparables'!$D$18</f>
        <v>-0.12491789626395092</v>
      </c>
    </row>
    <row r="18" spans="2:19" x14ac:dyDescent="0.25">
      <c r="B18" s="92"/>
      <c r="C18" s="95"/>
      <c r="D18" s="95"/>
      <c r="E18" s="95"/>
      <c r="F18" s="95"/>
      <c r="G18" s="92"/>
      <c r="H18" s="92"/>
      <c r="I18" s="95"/>
      <c r="J18" s="95"/>
      <c r="K18" s="93"/>
      <c r="L18" s="93"/>
      <c r="M18" s="93"/>
      <c r="N18" s="93"/>
      <c r="O18" s="93"/>
      <c r="P18" s="93"/>
      <c r="Q18" s="93"/>
      <c r="R18" s="93"/>
      <c r="S18" s="93"/>
    </row>
    <row r="19" spans="2:19" x14ac:dyDescent="0.25">
      <c r="B19" s="91" t="s">
        <v>73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</row>
    <row r="20" spans="2:19" x14ac:dyDescent="0.25">
      <c r="B20" s="92" t="s">
        <v>235</v>
      </c>
      <c r="C20" s="95"/>
      <c r="D20" s="79"/>
      <c r="E20" s="79"/>
      <c r="F20" s="79"/>
      <c r="G20" s="92"/>
      <c r="H20" s="94">
        <f>H17-3%</f>
        <v>-0.29482586288194601</v>
      </c>
      <c r="I20" s="93"/>
      <c r="J20" s="94">
        <f>J17-2%</f>
        <v>-0.14491789626395091</v>
      </c>
      <c r="K20" s="94">
        <f t="shared" ref="K20:S20" si="4">K17-2%</f>
        <v>-0.14491789626395091</v>
      </c>
      <c r="L20" s="94">
        <f t="shared" si="4"/>
        <v>-0.14491789626395091</v>
      </c>
      <c r="M20" s="94">
        <f t="shared" si="4"/>
        <v>-0.14491789626395091</v>
      </c>
      <c r="N20" s="94">
        <f t="shared" si="4"/>
        <v>-0.14491789626395091</v>
      </c>
      <c r="O20" s="94">
        <f t="shared" si="4"/>
        <v>-0.14491789626395091</v>
      </c>
      <c r="P20" s="94">
        <f t="shared" si="4"/>
        <v>-0.14491789626395091</v>
      </c>
      <c r="Q20" s="94">
        <f t="shared" si="4"/>
        <v>-0.14491789626395091</v>
      </c>
      <c r="R20" s="94">
        <f t="shared" si="4"/>
        <v>-0.14491789626395091</v>
      </c>
      <c r="S20" s="94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162</v>
      </c>
    </row>
    <row r="3" spans="1:19" x14ac:dyDescent="0.25">
      <c r="B3" s="121" t="str">
        <f>"Selected case:"&amp;CHOOSE(C3," as a % of PPE"," as a % of revenue")</f>
        <v>Selected case: as a % of PPE</v>
      </c>
      <c r="C3" s="120">
        <v>1</v>
      </c>
    </row>
    <row r="4" spans="1:19" ht="5.4" customHeight="1" x14ac:dyDescent="0.25">
      <c r="B4" s="121"/>
      <c r="C4" s="122"/>
    </row>
    <row r="5" spans="1:19" x14ac:dyDescent="0.25">
      <c r="C5" s="218" t="s">
        <v>237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26.4" customHeight="1" x14ac:dyDescent="0.25">
      <c r="A6" s="19" t="s">
        <v>76</v>
      </c>
      <c r="B6" s="5" t="s">
        <v>259</v>
      </c>
      <c r="C6" s="6" t="s">
        <v>238</v>
      </c>
      <c r="D6" s="6" t="s">
        <v>239</v>
      </c>
      <c r="E6" s="6" t="s">
        <v>240</v>
      </c>
      <c r="F6" s="6" t="s">
        <v>243</v>
      </c>
      <c r="G6" s="6" t="s">
        <v>241</v>
      </c>
      <c r="H6" s="98" t="s">
        <v>183</v>
      </c>
      <c r="I6" s="98" t="s">
        <v>282</v>
      </c>
      <c r="J6" s="98" t="s">
        <v>283</v>
      </c>
      <c r="K6" s="98" t="s">
        <v>284</v>
      </c>
      <c r="L6" s="98" t="s">
        <v>285</v>
      </c>
      <c r="M6" s="98" t="s">
        <v>286</v>
      </c>
      <c r="N6" s="98" t="s">
        <v>287</v>
      </c>
      <c r="O6" s="98" t="s">
        <v>288</v>
      </c>
      <c r="P6" s="98" t="s">
        <v>289</v>
      </c>
      <c r="Q6" s="98" t="s">
        <v>290</v>
      </c>
      <c r="R6" s="98" t="s">
        <v>291</v>
      </c>
      <c r="S6" s="98" t="s">
        <v>292</v>
      </c>
    </row>
    <row r="7" spans="1:19" x14ac:dyDescent="0.25">
      <c r="B7" s="20" t="s">
        <v>81</v>
      </c>
      <c r="C7" s="123">
        <f>738494/1000</f>
        <v>738.49400000000003</v>
      </c>
      <c r="D7" s="124">
        <f>C10</f>
        <v>1829.2670000000001</v>
      </c>
      <c r="E7" s="124">
        <f>D10</f>
        <v>3403.3339999999998</v>
      </c>
      <c r="F7" s="124">
        <f>E10</f>
        <v>5982.9570000000003</v>
      </c>
      <c r="G7" s="170">
        <f>F10</f>
        <v>10027.522000000001</v>
      </c>
      <c r="H7" s="125">
        <f>G10</f>
        <v>10969.348</v>
      </c>
      <c r="I7" s="125">
        <f>F10</f>
        <v>10027.522000000001</v>
      </c>
      <c r="J7" s="125">
        <f>I10</f>
        <v>14637.79562666667</v>
      </c>
      <c r="K7" s="125">
        <f t="shared" ref="K7:O7" si="0">J10</f>
        <v>19126.71961884445</v>
      </c>
      <c r="L7" s="125">
        <f t="shared" si="0"/>
        <v>23116.006853632007</v>
      </c>
      <c r="M7" s="125">
        <f t="shared" si="0"/>
        <v>25682.266148777537</v>
      </c>
      <c r="N7" s="125">
        <f t="shared" si="0"/>
        <v>28419.347087635142</v>
      </c>
      <c r="O7" s="125">
        <f t="shared" si="0"/>
        <v>31324.919586429129</v>
      </c>
      <c r="P7" s="125">
        <f t="shared" ref="P7" si="1">O10</f>
        <v>34393.940990496194</v>
      </c>
      <c r="Q7" s="125">
        <f t="shared" ref="Q7" si="2">P10</f>
        <v>37618.180795503387</v>
      </c>
      <c r="R7" s="125">
        <f t="shared" ref="R7" si="3">Q10</f>
        <v>40985.69281757198</v>
      </c>
      <c r="S7" s="125">
        <f t="shared" ref="S7" si="4">R10</f>
        <v>44480.231339819991</v>
      </c>
    </row>
    <row r="8" spans="1:19" x14ac:dyDescent="0.25">
      <c r="B8" s="20" t="s">
        <v>82</v>
      </c>
      <c r="C8" s="124">
        <f>C10-C7-C9</f>
        <v>1322.7040000000002</v>
      </c>
      <c r="D8" s="124">
        <f>D10-D7-D9</f>
        <v>1996.6569999999997</v>
      </c>
      <c r="E8" s="124">
        <f>E10-E7-E9</f>
        <v>3526.7220000000007</v>
      </c>
      <c r="F8" s="124">
        <f>F10-F7-F9</f>
        <v>5210.9620000000004</v>
      </c>
      <c r="G8" s="170">
        <f>G10-G7-G9</f>
        <v>1843.3139999999992</v>
      </c>
      <c r="H8" s="125">
        <f>I8-G8</f>
        <v>4173.1992000000009</v>
      </c>
      <c r="I8" s="125">
        <f>CHOOSE($C$3,I30*I7,I31*'P&amp;L'!I5)</f>
        <v>6016.5132000000003</v>
      </c>
      <c r="J8" s="125">
        <f>CHOOSE($C$3,J30*J7,J31*'P&amp;L'!J5)</f>
        <v>5855.1182506666682</v>
      </c>
      <c r="K8" s="125">
        <f>CHOOSE($C$3,K30*K7,K31*'P&amp;L'!K5)</f>
        <v>5738.0158856533353</v>
      </c>
      <c r="L8" s="125">
        <f>CHOOSE($C$3,L30*L7,L31*'P&amp;L'!L5)</f>
        <v>4623.2013707264014</v>
      </c>
      <c r="M8" s="125">
        <f>CHOOSE($C$3,M30*M7,M31*'P&amp;L'!M5)</f>
        <v>5136.4532297555079</v>
      </c>
      <c r="N8" s="125">
        <f>CHOOSE($C$3,N30*N7,N31*'P&amp;L'!N5)</f>
        <v>5683.8694175270284</v>
      </c>
      <c r="O8" s="125">
        <f>CHOOSE($C$3,O30*O7,O31*'P&amp;L'!O5)</f>
        <v>6264.9839172858265</v>
      </c>
      <c r="P8" s="125">
        <f>CHOOSE($C$3,P30*P7,P31*'P&amp;L'!P5)</f>
        <v>6878.7881980992388</v>
      </c>
      <c r="Q8" s="125">
        <f>CHOOSE($C$3,Q30*Q7,Q31*'P&amp;L'!Q5)</f>
        <v>7523.636159100678</v>
      </c>
      <c r="R8" s="125">
        <f>CHOOSE($C$3,R30*R7,R31*'P&amp;L'!R5)</f>
        <v>8197.1385635143961</v>
      </c>
      <c r="S8" s="125">
        <f>CHOOSE($C$3,S30*S7,S31*'P&amp;L'!S5)</f>
        <v>8896.0462679639986</v>
      </c>
    </row>
    <row r="9" spans="1:19" x14ac:dyDescent="0.25">
      <c r="B9" s="19" t="s">
        <v>83</v>
      </c>
      <c r="C9" s="126">
        <f>-231931/1000</f>
        <v>-231.93100000000001</v>
      </c>
      <c r="D9" s="126">
        <f>-422590/1000</f>
        <v>-422.59</v>
      </c>
      <c r="E9" s="126">
        <f>-947099/1000</f>
        <v>-947.09900000000005</v>
      </c>
      <c r="F9" s="126">
        <f>-1166397/1000</f>
        <v>-1166.3969999999999</v>
      </c>
      <c r="G9" s="170">
        <f>-901488/1000</f>
        <v>-901.48800000000006</v>
      </c>
      <c r="H9" s="125">
        <f>H26</f>
        <v>-504.75157333333334</v>
      </c>
      <c r="I9" s="125">
        <f>G9+H9</f>
        <v>-1406.2395733333333</v>
      </c>
      <c r="J9" s="125">
        <f t="shared" ref="J9:S9" si="5">J26</f>
        <v>-1366.1942584888893</v>
      </c>
      <c r="K9" s="125">
        <f t="shared" si="5"/>
        <v>-1748.7286508657783</v>
      </c>
      <c r="L9" s="125">
        <f t="shared" si="5"/>
        <v>-2056.9420755808715</v>
      </c>
      <c r="M9" s="125">
        <f t="shared" si="5"/>
        <v>-2399.3722908979053</v>
      </c>
      <c r="N9" s="125">
        <f t="shared" si="5"/>
        <v>-2778.2969187330405</v>
      </c>
      <c r="O9" s="125">
        <f t="shared" si="5"/>
        <v>-3195.9625132187621</v>
      </c>
      <c r="P9" s="125">
        <f t="shared" si="5"/>
        <v>-3654.5483930920445</v>
      </c>
      <c r="Q9" s="125">
        <f t="shared" si="5"/>
        <v>-4156.1241370320895</v>
      </c>
      <c r="R9" s="125">
        <f t="shared" si="5"/>
        <v>-4702.6000412663825</v>
      </c>
      <c r="S9" s="125">
        <f t="shared" si="5"/>
        <v>-5295.669792463982</v>
      </c>
    </row>
    <row r="10" spans="1:19" s="22" customFormat="1" ht="14.4" thickBot="1" x14ac:dyDescent="0.3">
      <c r="B10" s="116" t="s">
        <v>84</v>
      </c>
      <c r="C10" s="127">
        <f>'Balance Sheet Input'!C12/1000</f>
        <v>1829.2670000000001</v>
      </c>
      <c r="D10" s="127">
        <f>'Balance Sheet Input'!D12/1000</f>
        <v>3403.3339999999998</v>
      </c>
      <c r="E10" s="127">
        <f>'Balance Sheet Input'!E12/1000</f>
        <v>5982.9570000000003</v>
      </c>
      <c r="F10" s="127">
        <f>'Balance Sheet Input'!F12/1000</f>
        <v>10027.522000000001</v>
      </c>
      <c r="G10" s="127">
        <f>'Balance Sheet Input'!G12/1000</f>
        <v>10969.348</v>
      </c>
      <c r="H10" s="127">
        <f>SUM(H7:H9)</f>
        <v>14637.795626666668</v>
      </c>
      <c r="I10" s="127">
        <f>SUM(I7:I9)</f>
        <v>14637.79562666667</v>
      </c>
      <c r="J10" s="127">
        <f t="shared" ref="J10:S10" si="6">SUM(J7:J9)</f>
        <v>19126.71961884445</v>
      </c>
      <c r="K10" s="127">
        <f t="shared" si="6"/>
        <v>23116.006853632007</v>
      </c>
      <c r="L10" s="127">
        <f t="shared" si="6"/>
        <v>25682.266148777537</v>
      </c>
      <c r="M10" s="127">
        <f t="shared" si="6"/>
        <v>28419.347087635142</v>
      </c>
      <c r="N10" s="127">
        <f t="shared" si="6"/>
        <v>31324.919586429129</v>
      </c>
      <c r="O10" s="127">
        <f t="shared" si="6"/>
        <v>34393.940990496194</v>
      </c>
      <c r="P10" s="127">
        <f t="shared" si="6"/>
        <v>37618.180795503387</v>
      </c>
      <c r="Q10" s="127">
        <f t="shared" si="6"/>
        <v>40985.69281757198</v>
      </c>
      <c r="R10" s="127">
        <f t="shared" si="6"/>
        <v>44480.231339819991</v>
      </c>
      <c r="S10" s="127">
        <f t="shared" si="6"/>
        <v>48080.607815320007</v>
      </c>
    </row>
    <row r="11" spans="1:19" ht="4.95" customHeight="1" x14ac:dyDescent="0.25"/>
    <row r="12" spans="1:19" x14ac:dyDescent="0.25">
      <c r="B12" s="20"/>
      <c r="C12" s="218" t="s">
        <v>242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ht="24" x14ac:dyDescent="0.25">
      <c r="B13" s="5" t="s">
        <v>259</v>
      </c>
      <c r="C13" s="6" t="s">
        <v>45</v>
      </c>
      <c r="D13" s="6" t="s">
        <v>46</v>
      </c>
      <c r="E13" s="6" t="s">
        <v>47</v>
      </c>
      <c r="F13" s="6" t="s">
        <v>164</v>
      </c>
      <c r="G13" s="6" t="s">
        <v>172</v>
      </c>
      <c r="H13" s="98" t="s">
        <v>183</v>
      </c>
      <c r="I13" s="98" t="s">
        <v>182</v>
      </c>
      <c r="J13" s="98" t="s">
        <v>184</v>
      </c>
      <c r="K13" s="98" t="s">
        <v>185</v>
      </c>
      <c r="L13" s="98" t="s">
        <v>186</v>
      </c>
      <c r="M13" s="98" t="s">
        <v>187</v>
      </c>
      <c r="N13" s="98" t="s">
        <v>188</v>
      </c>
      <c r="O13" s="98" t="s">
        <v>268</v>
      </c>
      <c r="P13" s="98" t="s">
        <v>269</v>
      </c>
      <c r="Q13" s="98" t="s">
        <v>270</v>
      </c>
      <c r="R13" s="98" t="s">
        <v>271</v>
      </c>
      <c r="S13" s="98" t="s">
        <v>272</v>
      </c>
    </row>
    <row r="14" spans="1:19" x14ac:dyDescent="0.25">
      <c r="B14" s="23" t="s">
        <v>183</v>
      </c>
      <c r="C14" s="23"/>
      <c r="D14" s="23"/>
      <c r="E14" s="23"/>
      <c r="F14" s="23"/>
      <c r="G14" s="171"/>
      <c r="H14" s="74">
        <f>-$G$10/$C$34/2-$H$8/$C$33/2</f>
        <v>-504.75157333333334</v>
      </c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</row>
    <row r="15" spans="1:19" x14ac:dyDescent="0.25">
      <c r="B15" s="23" t="s">
        <v>182</v>
      </c>
      <c r="C15" s="23"/>
      <c r="D15" s="23"/>
      <c r="E15" s="23"/>
      <c r="F15" s="23"/>
      <c r="G15" s="171"/>
      <c r="H15" s="74"/>
      <c r="I15" s="74">
        <f>I9</f>
        <v>-1406.2395733333333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</row>
    <row r="16" spans="1:19" x14ac:dyDescent="0.25">
      <c r="B16" s="23" t="s">
        <v>184</v>
      </c>
      <c r="C16" s="23"/>
      <c r="D16" s="23"/>
      <c r="E16" s="23"/>
      <c r="F16" s="23"/>
      <c r="G16" s="171"/>
      <c r="H16" s="74"/>
      <c r="I16" s="74"/>
      <c r="J16" s="74">
        <f t="shared" ref="J16:S16" si="7">-$I$10/$C$34-$J$8/$C$33</f>
        <v>-1366.1942584888893</v>
      </c>
      <c r="K16" s="74">
        <f t="shared" si="7"/>
        <v>-1366.1942584888893</v>
      </c>
      <c r="L16" s="74">
        <f t="shared" si="7"/>
        <v>-1366.1942584888893</v>
      </c>
      <c r="M16" s="74">
        <f t="shared" si="7"/>
        <v>-1366.1942584888893</v>
      </c>
      <c r="N16" s="74">
        <f t="shared" si="7"/>
        <v>-1366.1942584888893</v>
      </c>
      <c r="O16" s="74">
        <f t="shared" si="7"/>
        <v>-1366.1942584888893</v>
      </c>
      <c r="P16" s="74">
        <f t="shared" si="7"/>
        <v>-1366.1942584888893</v>
      </c>
      <c r="Q16" s="74">
        <f t="shared" si="7"/>
        <v>-1366.1942584888893</v>
      </c>
      <c r="R16" s="74">
        <f t="shared" si="7"/>
        <v>-1366.1942584888893</v>
      </c>
      <c r="S16" s="74">
        <f t="shared" si="7"/>
        <v>-1366.1942584888893</v>
      </c>
    </row>
    <row r="17" spans="2:19" x14ac:dyDescent="0.25">
      <c r="B17" s="23" t="s">
        <v>185</v>
      </c>
      <c r="C17" s="23"/>
      <c r="D17" s="23"/>
      <c r="E17" s="23"/>
      <c r="F17" s="23"/>
      <c r="G17" s="171"/>
      <c r="H17" s="74"/>
      <c r="I17" s="74"/>
      <c r="J17" s="74"/>
      <c r="K17" s="74">
        <f t="shared" ref="K17:S17" si="8">-$K$8/$C$33</f>
        <v>-382.534392376889</v>
      </c>
      <c r="L17" s="74">
        <f t="shared" si="8"/>
        <v>-382.534392376889</v>
      </c>
      <c r="M17" s="74">
        <f t="shared" si="8"/>
        <v>-382.534392376889</v>
      </c>
      <c r="N17" s="74">
        <f t="shared" si="8"/>
        <v>-382.534392376889</v>
      </c>
      <c r="O17" s="74">
        <f t="shared" si="8"/>
        <v>-382.534392376889</v>
      </c>
      <c r="P17" s="74">
        <f t="shared" si="8"/>
        <v>-382.534392376889</v>
      </c>
      <c r="Q17" s="74">
        <f t="shared" si="8"/>
        <v>-382.534392376889</v>
      </c>
      <c r="R17" s="74">
        <f t="shared" si="8"/>
        <v>-382.534392376889</v>
      </c>
      <c r="S17" s="74">
        <f t="shared" si="8"/>
        <v>-382.534392376889</v>
      </c>
    </row>
    <row r="18" spans="2:19" x14ac:dyDescent="0.25">
      <c r="B18" s="23" t="s">
        <v>186</v>
      </c>
      <c r="C18" s="23"/>
      <c r="D18" s="23"/>
      <c r="E18" s="23"/>
      <c r="F18" s="23"/>
      <c r="G18" s="171"/>
      <c r="H18" s="74"/>
      <c r="I18" s="74"/>
      <c r="J18" s="74"/>
      <c r="K18" s="74"/>
      <c r="L18" s="74">
        <f t="shared" ref="L18:S18" si="9">-$L$8/$C$33</f>
        <v>-308.21342471509342</v>
      </c>
      <c r="M18" s="74">
        <f t="shared" si="9"/>
        <v>-308.21342471509342</v>
      </c>
      <c r="N18" s="74">
        <f t="shared" si="9"/>
        <v>-308.21342471509342</v>
      </c>
      <c r="O18" s="74">
        <f t="shared" si="9"/>
        <v>-308.21342471509342</v>
      </c>
      <c r="P18" s="74">
        <f t="shared" si="9"/>
        <v>-308.21342471509342</v>
      </c>
      <c r="Q18" s="74">
        <f t="shared" si="9"/>
        <v>-308.21342471509342</v>
      </c>
      <c r="R18" s="74">
        <f t="shared" si="9"/>
        <v>-308.21342471509342</v>
      </c>
      <c r="S18" s="74">
        <f t="shared" si="9"/>
        <v>-308.21342471509342</v>
      </c>
    </row>
    <row r="19" spans="2:19" x14ac:dyDescent="0.25">
      <c r="B19" s="23" t="s">
        <v>187</v>
      </c>
      <c r="C19" s="23"/>
      <c r="D19" s="23"/>
      <c r="E19" s="23"/>
      <c r="F19" s="23"/>
      <c r="G19" s="171"/>
      <c r="H19" s="74"/>
      <c r="I19" s="74"/>
      <c r="J19" s="74"/>
      <c r="K19" s="74"/>
      <c r="L19" s="74"/>
      <c r="M19" s="74">
        <f>-$M$8/$C$33</f>
        <v>-342.43021531703386</v>
      </c>
      <c r="N19" s="74">
        <f t="shared" ref="N19:S19" si="10">-$M$8/$C$33</f>
        <v>-342.43021531703386</v>
      </c>
      <c r="O19" s="74">
        <f t="shared" si="10"/>
        <v>-342.43021531703386</v>
      </c>
      <c r="P19" s="74">
        <f t="shared" si="10"/>
        <v>-342.43021531703386</v>
      </c>
      <c r="Q19" s="74">
        <f t="shared" si="10"/>
        <v>-342.43021531703386</v>
      </c>
      <c r="R19" s="74">
        <f t="shared" si="10"/>
        <v>-342.43021531703386</v>
      </c>
      <c r="S19" s="74">
        <f t="shared" si="10"/>
        <v>-342.43021531703386</v>
      </c>
    </row>
    <row r="20" spans="2:19" x14ac:dyDescent="0.25">
      <c r="B20" s="23" t="s">
        <v>188</v>
      </c>
      <c r="C20" s="23"/>
      <c r="D20" s="23"/>
      <c r="E20" s="23"/>
      <c r="F20" s="23"/>
      <c r="G20" s="171"/>
      <c r="H20" s="74"/>
      <c r="I20" s="74"/>
      <c r="J20" s="74"/>
      <c r="K20" s="74"/>
      <c r="L20" s="74"/>
      <c r="M20" s="74"/>
      <c r="N20" s="74">
        <f t="shared" ref="N20:S20" si="11">-$N$8/$C$33</f>
        <v>-378.92462783513525</v>
      </c>
      <c r="O20" s="74">
        <f t="shared" si="11"/>
        <v>-378.92462783513525</v>
      </c>
      <c r="P20" s="74">
        <f t="shared" si="11"/>
        <v>-378.92462783513525</v>
      </c>
      <c r="Q20" s="74">
        <f t="shared" si="11"/>
        <v>-378.92462783513525</v>
      </c>
      <c r="R20" s="74">
        <f t="shared" si="11"/>
        <v>-378.92462783513525</v>
      </c>
      <c r="S20" s="74">
        <f t="shared" si="11"/>
        <v>-378.92462783513525</v>
      </c>
    </row>
    <row r="21" spans="2:19" x14ac:dyDescent="0.25">
      <c r="B21" s="23" t="s">
        <v>275</v>
      </c>
      <c r="C21" s="23"/>
      <c r="D21" s="23"/>
      <c r="E21" s="23"/>
      <c r="F21" s="23"/>
      <c r="G21" s="171"/>
      <c r="H21" s="74"/>
      <c r="I21" s="74"/>
      <c r="J21" s="74"/>
      <c r="K21" s="74"/>
      <c r="L21" s="74"/>
      <c r="M21" s="74"/>
      <c r="N21" s="74"/>
      <c r="O21" s="74">
        <f>-$O$8/$C$33</f>
        <v>-417.66559448572178</v>
      </c>
      <c r="P21" s="74">
        <f>-$O$8/$C$33</f>
        <v>-417.66559448572178</v>
      </c>
      <c r="Q21" s="74">
        <f>-$O$8/$C$33</f>
        <v>-417.66559448572178</v>
      </c>
      <c r="R21" s="74">
        <f>-$O$8/$C$33</f>
        <v>-417.66559448572178</v>
      </c>
      <c r="S21" s="74">
        <f>-$O$8/$C$33</f>
        <v>-417.66559448572178</v>
      </c>
    </row>
    <row r="22" spans="2:19" x14ac:dyDescent="0.25">
      <c r="B22" s="23" t="s">
        <v>276</v>
      </c>
      <c r="C22" s="23"/>
      <c r="D22" s="23"/>
      <c r="E22" s="23"/>
      <c r="F22" s="23"/>
      <c r="G22" s="171"/>
      <c r="H22" s="74"/>
      <c r="I22" s="74"/>
      <c r="J22" s="74"/>
      <c r="K22" s="74"/>
      <c r="L22" s="74"/>
      <c r="M22" s="74"/>
      <c r="N22" s="74"/>
      <c r="O22" s="74"/>
      <c r="P22" s="74">
        <f>-$P$8/$C$33</f>
        <v>-458.58587987328258</v>
      </c>
      <c r="Q22" s="74">
        <f t="shared" ref="Q22:S22" si="12">-$P$8/$C$33</f>
        <v>-458.58587987328258</v>
      </c>
      <c r="R22" s="74">
        <f t="shared" si="12"/>
        <v>-458.58587987328258</v>
      </c>
      <c r="S22" s="74">
        <f t="shared" si="12"/>
        <v>-458.58587987328258</v>
      </c>
    </row>
    <row r="23" spans="2:19" x14ac:dyDescent="0.25">
      <c r="B23" s="23" t="s">
        <v>277</v>
      </c>
      <c r="C23" s="23"/>
      <c r="D23" s="23"/>
      <c r="E23" s="23"/>
      <c r="F23" s="23"/>
      <c r="G23" s="171"/>
      <c r="H23" s="74"/>
      <c r="I23" s="74"/>
      <c r="J23" s="74"/>
      <c r="K23" s="74"/>
      <c r="L23" s="74"/>
      <c r="M23" s="74"/>
      <c r="N23" s="74"/>
      <c r="O23" s="74"/>
      <c r="P23" s="74"/>
      <c r="Q23" s="74">
        <f>-$Q$8/$C$33</f>
        <v>-501.57574394004519</v>
      </c>
      <c r="R23" s="74">
        <f t="shared" ref="R23:S23" si="13">-$Q$8/$C$33</f>
        <v>-501.57574394004519</v>
      </c>
      <c r="S23" s="74">
        <f t="shared" si="13"/>
        <v>-501.57574394004519</v>
      </c>
    </row>
    <row r="24" spans="2:19" x14ac:dyDescent="0.25">
      <c r="B24" s="23" t="s">
        <v>278</v>
      </c>
      <c r="C24" s="23"/>
      <c r="D24" s="23"/>
      <c r="E24" s="23"/>
      <c r="F24" s="23"/>
      <c r="G24" s="171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>
        <f>-$R$8/$C$33</f>
        <v>-546.47590423429313</v>
      </c>
      <c r="S24" s="74">
        <f>-$R$8/$C$33</f>
        <v>-546.47590423429313</v>
      </c>
    </row>
    <row r="25" spans="2:19" x14ac:dyDescent="0.25">
      <c r="B25" s="23" t="s">
        <v>279</v>
      </c>
      <c r="C25" s="23"/>
      <c r="D25" s="23"/>
      <c r="E25" s="23"/>
      <c r="F25" s="23"/>
      <c r="G25" s="171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>
        <f>-$S$8/$C$33</f>
        <v>-593.06975119759989</v>
      </c>
    </row>
    <row r="26" spans="2:19" ht="13.8" thickBot="1" x14ac:dyDescent="0.3">
      <c r="B26" s="116" t="s">
        <v>85</v>
      </c>
      <c r="C26" s="127">
        <f>C9</f>
        <v>-231.93100000000001</v>
      </c>
      <c r="D26" s="127">
        <f>D9</f>
        <v>-422.59</v>
      </c>
      <c r="E26" s="127">
        <f>E9</f>
        <v>-947.09900000000005</v>
      </c>
      <c r="F26" s="127">
        <f>F9</f>
        <v>-1166.3969999999999</v>
      </c>
      <c r="G26" s="127">
        <f>G9</f>
        <v>-901.48800000000006</v>
      </c>
      <c r="H26" s="127">
        <f>SUM(H14:H25)</f>
        <v>-504.75157333333334</v>
      </c>
      <c r="I26" s="127">
        <f t="shared" ref="I26:S26" si="14">SUM(I14:I25)</f>
        <v>-1406.2395733333333</v>
      </c>
      <c r="J26" s="127">
        <f t="shared" si="14"/>
        <v>-1366.1942584888893</v>
      </c>
      <c r="K26" s="127">
        <f t="shared" si="14"/>
        <v>-1748.7286508657783</v>
      </c>
      <c r="L26" s="127">
        <f t="shared" si="14"/>
        <v>-2056.9420755808715</v>
      </c>
      <c r="M26" s="127">
        <f t="shared" si="14"/>
        <v>-2399.3722908979053</v>
      </c>
      <c r="N26" s="127">
        <f t="shared" si="14"/>
        <v>-2778.2969187330405</v>
      </c>
      <c r="O26" s="127">
        <f t="shared" si="14"/>
        <v>-3195.9625132187621</v>
      </c>
      <c r="P26" s="127">
        <f t="shared" si="14"/>
        <v>-3654.5483930920445</v>
      </c>
      <c r="Q26" s="127">
        <f t="shared" si="14"/>
        <v>-4156.1241370320895</v>
      </c>
      <c r="R26" s="127">
        <f t="shared" si="14"/>
        <v>-4702.6000412663825</v>
      </c>
      <c r="S26" s="127">
        <f t="shared" si="14"/>
        <v>-5295.669792463982</v>
      </c>
    </row>
    <row r="27" spans="2:19" ht="4.95" customHeight="1" x14ac:dyDescent="0.25"/>
    <row r="28" spans="2:19" x14ac:dyDescent="0.25">
      <c r="B28" s="117" t="s">
        <v>87</v>
      </c>
      <c r="C28" s="118">
        <f>C9/C7</f>
        <v>-0.3140594236378359</v>
      </c>
      <c r="D28" s="118">
        <f>D9/D7</f>
        <v>-0.23101602991799444</v>
      </c>
      <c r="E28" s="118">
        <f>E9/E7</f>
        <v>-0.2782856457814602</v>
      </c>
      <c r="F28" s="118">
        <f>F9/F7</f>
        <v>-0.19495326474851815</v>
      </c>
      <c r="G28" s="118">
        <f>G9/G7</f>
        <v>-8.9901373440018376E-2</v>
      </c>
      <c r="H28" s="119">
        <f>AVERAGE($C28:$F28)</f>
        <v>-0.25457859102145219</v>
      </c>
      <c r="I28" s="119">
        <f>AVERAGE($C28:$F28)</f>
        <v>-0.25457859102145219</v>
      </c>
      <c r="J28" s="119">
        <f t="shared" ref="J28:S28" si="15">AVERAGE($C28:$F28)</f>
        <v>-0.25457859102145219</v>
      </c>
      <c r="K28" s="119">
        <f t="shared" si="15"/>
        <v>-0.25457859102145219</v>
      </c>
      <c r="L28" s="119">
        <f t="shared" si="15"/>
        <v>-0.25457859102145219</v>
      </c>
      <c r="M28" s="119">
        <f t="shared" si="15"/>
        <v>-0.25457859102145219</v>
      </c>
      <c r="N28" s="119">
        <f t="shared" si="15"/>
        <v>-0.25457859102145219</v>
      </c>
      <c r="O28" s="119">
        <f t="shared" si="15"/>
        <v>-0.25457859102145219</v>
      </c>
      <c r="P28" s="119">
        <f t="shared" si="15"/>
        <v>-0.25457859102145219</v>
      </c>
      <c r="Q28" s="119">
        <f t="shared" si="15"/>
        <v>-0.25457859102145219</v>
      </c>
      <c r="R28" s="119">
        <f t="shared" si="15"/>
        <v>-0.25457859102145219</v>
      </c>
      <c r="S28" s="119">
        <f t="shared" si="15"/>
        <v>-0.25457859102145219</v>
      </c>
    </row>
    <row r="29" spans="2:19" x14ac:dyDescent="0.25">
      <c r="B29" s="117" t="s">
        <v>88</v>
      </c>
      <c r="C29" s="118">
        <f>C9/'P&amp;L'!C5</f>
        <v>-7.2515692436989507E-2</v>
      </c>
      <c r="D29" s="118">
        <f>D9/'P&amp;L'!D5</f>
        <v>-0.10444572141793487</v>
      </c>
      <c r="E29" s="118">
        <f>E9/'P&amp;L'!E5</f>
        <v>-0.13529730582223309</v>
      </c>
      <c r="F29" s="118">
        <f>F9/'P&amp;L'!F5</f>
        <v>-9.9193953507477103E-2</v>
      </c>
      <c r="G29" s="118">
        <f>G9/'P&amp;L'!G5</f>
        <v>-0.1216421791336155</v>
      </c>
      <c r="H29" s="119">
        <f>H9/'P&amp;L'!H5</f>
        <v>-4.7720564122277459E-2</v>
      </c>
      <c r="I29" s="119">
        <f>I9/'P&amp;L'!I5</f>
        <v>-7.8175599700011006E-2</v>
      </c>
      <c r="J29" s="119">
        <f>J9/'P&amp;L'!J5</f>
        <v>-5.9253746869695333E-2</v>
      </c>
      <c r="K29" s="119">
        <f>K9/'P&amp;L'!K5</f>
        <v>-4.2123037301882965E-2</v>
      </c>
      <c r="L29" s="119">
        <f>L9/'P&amp;L'!L5</f>
        <v>-3.7314524630291029E-2</v>
      </c>
      <c r="M29" s="119">
        <f>M9/'P&amp;L'!M5</f>
        <v>-3.3706808589779855E-2</v>
      </c>
      <c r="N29" s="119">
        <f>N9/'P&amp;L'!N5</f>
        <v>-3.63983063076413E-2</v>
      </c>
      <c r="O29" s="119">
        <f>O9/'P&amp;L'!O5</f>
        <v>-3.9015865714457601E-2</v>
      </c>
      <c r="P29" s="119">
        <f>P9/'P&amp;L'!P5</f>
        <v>-4.2964689780681437E-2</v>
      </c>
      <c r="Q29" s="119">
        <f>Q9/'P&amp;L'!Q5</f>
        <v>-4.7044648103555325E-2</v>
      </c>
      <c r="R29" s="119">
        <f>R9/'P&amp;L'!R5</f>
        <v>-5.2072261720660908E-2</v>
      </c>
      <c r="S29" s="119">
        <f>S9/'P&amp;L'!S5</f>
        <v>-5.7358899861065488E-2</v>
      </c>
    </row>
    <row r="30" spans="2:19" x14ac:dyDescent="0.25">
      <c r="B30" s="117" t="s">
        <v>86</v>
      </c>
      <c r="C30" s="118">
        <f>C8/C7</f>
        <v>1.7910829336460419</v>
      </c>
      <c r="D30" s="118">
        <f>D8/D7</f>
        <v>1.0915065979979957</v>
      </c>
      <c r="E30" s="118">
        <f>E8/E7</f>
        <v>1.0362550369725689</v>
      </c>
      <c r="F30" s="118">
        <f>F8/F7</f>
        <v>0.87096765027727929</v>
      </c>
      <c r="G30" s="118">
        <f>G8/G7</f>
        <v>0.18382547552625653</v>
      </c>
      <c r="H30" s="119">
        <f>AVERAGE($C30:$G30)</f>
        <v>0.99472753888402843</v>
      </c>
      <c r="I30" s="119">
        <v>0.6</v>
      </c>
      <c r="J30" s="119">
        <v>0.4</v>
      </c>
      <c r="K30" s="119">
        <v>0.3</v>
      </c>
      <c r="L30" s="119">
        <v>0.2</v>
      </c>
      <c r="M30" s="119">
        <v>0.2</v>
      </c>
      <c r="N30" s="119">
        <v>0.2</v>
      </c>
      <c r="O30" s="119">
        <v>0.2</v>
      </c>
      <c r="P30" s="119">
        <v>0.2</v>
      </c>
      <c r="Q30" s="119">
        <v>0.2</v>
      </c>
      <c r="R30" s="119">
        <v>0.2</v>
      </c>
      <c r="S30" s="119">
        <v>0.2</v>
      </c>
    </row>
    <row r="31" spans="2:19" x14ac:dyDescent="0.25">
      <c r="B31" s="117" t="s">
        <v>89</v>
      </c>
      <c r="C31" s="118">
        <f>1000*C8/'P&amp;L Input'!C7</f>
        <v>0.41355746514771974</v>
      </c>
      <c r="D31" s="118">
        <f>1000*D8/'P&amp;L Input'!D7</f>
        <v>0.49348607583986748</v>
      </c>
      <c r="E31" s="118">
        <f>1000*E8/'P&amp;L Input'!E7</f>
        <v>0.50380792819335418</v>
      </c>
      <c r="F31" s="118">
        <f>1000*F8/'P&amp;L Input'!F7</f>
        <v>0.44315608009728247</v>
      </c>
      <c r="G31" s="118">
        <f>1000*G8/'P&amp;L Input'!G7</f>
        <v>0.24872736163709466</v>
      </c>
      <c r="H31" s="119">
        <f>AVERAGE($C31:$G31)</f>
        <v>0.42054698218306374</v>
      </c>
      <c r="I31" s="119">
        <f>AVERAGE($C31:$G31)</f>
        <v>0.42054698218306374</v>
      </c>
      <c r="J31" s="119">
        <f t="shared" ref="J31" si="16">AVERAGE($C31:$G31)</f>
        <v>0.42054698218306374</v>
      </c>
      <c r="K31" s="119">
        <v>0.2</v>
      </c>
      <c r="L31" s="119">
        <v>0.15</v>
      </c>
      <c r="M31" s="119">
        <v>0.1</v>
      </c>
      <c r="N31" s="119">
        <v>0.1</v>
      </c>
      <c r="O31" s="119">
        <v>0.1</v>
      </c>
      <c r="P31" s="119">
        <v>0.1</v>
      </c>
      <c r="Q31" s="119">
        <v>0.1</v>
      </c>
      <c r="R31" s="119">
        <v>0.1</v>
      </c>
      <c r="S31" s="119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tabSelected="1"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247</v>
      </c>
    </row>
    <row r="2" spans="1:7" ht="15.6" x14ac:dyDescent="0.25">
      <c r="A2" s="1"/>
      <c r="B2" s="2"/>
    </row>
    <row r="3" spans="1:7" ht="13.2" x14ac:dyDescent="0.25">
      <c r="A3" s="1"/>
      <c r="B3" s="102" t="s">
        <v>274</v>
      </c>
    </row>
    <row r="5" spans="1:7" ht="12" x14ac:dyDescent="0.25">
      <c r="C5" s="218" t="s">
        <v>87</v>
      </c>
      <c r="D5" s="218"/>
      <c r="F5" s="218" t="s">
        <v>88</v>
      </c>
      <c r="G5" s="218"/>
    </row>
    <row r="6" spans="1:7" ht="12" x14ac:dyDescent="0.25">
      <c r="B6" s="36" t="s">
        <v>309</v>
      </c>
      <c r="C6" s="62" t="s">
        <v>198</v>
      </c>
      <c r="D6" s="62" t="s">
        <v>234</v>
      </c>
      <c r="F6" s="62" t="s">
        <v>198</v>
      </c>
      <c r="G6" s="62" t="s">
        <v>234</v>
      </c>
    </row>
    <row r="7" spans="1:7" x14ac:dyDescent="0.25">
      <c r="B7" s="8" t="s">
        <v>223</v>
      </c>
      <c r="C7" s="111">
        <f>-12261/36253</f>
        <v>-0.33820649325573054</v>
      </c>
      <c r="D7" s="113">
        <f>C7</f>
        <v>-0.33820649325573054</v>
      </c>
      <c r="F7" s="111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224</v>
      </c>
      <c r="C8" s="113">
        <f>-7385/30163</f>
        <v>-0.24483638895335344</v>
      </c>
      <c r="D8" s="113">
        <f>C8</f>
        <v>-0.24483638895335344</v>
      </c>
      <c r="F8" s="113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225</v>
      </c>
      <c r="C9" s="113">
        <f>-5890/29014</f>
        <v>-0.20300544564692907</v>
      </c>
      <c r="D9" s="113">
        <f>C9</f>
        <v>-0.20300544564692907</v>
      </c>
      <c r="F9" s="113">
        <f>-5890/110934</f>
        <v>-5.309463284475454E-2</v>
      </c>
      <c r="G9" s="113">
        <f t="shared" si="0"/>
        <v>-5.309463284475454E-2</v>
      </c>
    </row>
    <row r="10" spans="1:7" x14ac:dyDescent="0.25">
      <c r="B10" s="8" t="s">
        <v>226</v>
      </c>
      <c r="C10" s="113">
        <f>-4822/11455</f>
        <v>-0.42095154954168484</v>
      </c>
      <c r="D10" s="113">
        <f t="shared" ref="D10:D14" si="1">C10</f>
        <v>-0.42095154954168484</v>
      </c>
      <c r="F10" s="113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227</v>
      </c>
      <c r="C11" s="113">
        <f>-22165/55243</f>
        <v>-0.40122730481689989</v>
      </c>
      <c r="D11" s="113">
        <f t="shared" si="1"/>
        <v>-0.40122730481689989</v>
      </c>
      <c r="F11" s="113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228</v>
      </c>
      <c r="C12" s="113">
        <v>-0.28139337298215805</v>
      </c>
      <c r="D12" s="113">
        <f t="shared" si="1"/>
        <v>-0.28139337298215805</v>
      </c>
      <c r="F12" s="113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229</v>
      </c>
      <c r="C13" s="113">
        <f>-2276/5903</f>
        <v>-0.38556666101982046</v>
      </c>
      <c r="D13" s="113">
        <f t="shared" si="1"/>
        <v>-0.38556666101982046</v>
      </c>
      <c r="F13" s="113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230</v>
      </c>
      <c r="C14" s="113">
        <f>-260606/710260</f>
        <v>-0.36691634049502997</v>
      </c>
      <c r="D14" s="113">
        <f t="shared" si="1"/>
        <v>-0.36691634049502997</v>
      </c>
      <c r="F14" s="113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231</v>
      </c>
      <c r="C15" s="113">
        <f>-3941/29711</f>
        <v>-0.13264447511022853</v>
      </c>
      <c r="D15" s="113">
        <f>C15</f>
        <v>-0.13264447511022853</v>
      </c>
      <c r="F15" s="113">
        <f>-3941/123365</f>
        <v>-3.1945851740769263E-2</v>
      </c>
      <c r="G15" s="113">
        <f>F15</f>
        <v>-3.1945851740769263E-2</v>
      </c>
    </row>
    <row r="16" spans="1:7" x14ac:dyDescent="0.25">
      <c r="B16" s="8" t="s">
        <v>232</v>
      </c>
      <c r="C16" s="113">
        <f>(-358-610)/2639</f>
        <v>-0.36680560818491853</v>
      </c>
      <c r="D16" s="113">
        <f>C16</f>
        <v>-0.36680560818491853</v>
      </c>
      <c r="F16" s="113">
        <f>(-358-610)/14342</f>
        <v>-6.7494073350997066E-2</v>
      </c>
      <c r="G16" s="34">
        <f>F16</f>
        <v>-6.7494073350997066E-2</v>
      </c>
    </row>
    <row r="17" spans="2:7" x14ac:dyDescent="0.25">
      <c r="B17" s="129" t="s">
        <v>233</v>
      </c>
      <c r="C17" s="114"/>
      <c r="D17" s="114"/>
      <c r="E17" s="129"/>
      <c r="F17" s="114"/>
      <c r="G17" s="114"/>
    </row>
    <row r="18" spans="2:7" ht="12" x14ac:dyDescent="0.25">
      <c r="B18" s="9" t="s">
        <v>198</v>
      </c>
      <c r="C18" s="128">
        <f>AVERAGE(C7:C17)</f>
        <v>-0.31415536400067534</v>
      </c>
      <c r="D18" s="128">
        <f>AVERAGE(D7:D17)</f>
        <v>-0.31415536400067534</v>
      </c>
      <c r="F18" s="128">
        <f>AVERAGE(F7:F17)</f>
        <v>-6.8355522662896753E-2</v>
      </c>
      <c r="G18" s="128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296</v>
      </c>
    </row>
    <row r="2" spans="1:13" ht="15.6" x14ac:dyDescent="0.25">
      <c r="A2" s="1"/>
      <c r="B2" s="2"/>
    </row>
    <row r="3" spans="1:13" ht="13.2" x14ac:dyDescent="0.25">
      <c r="A3" s="1"/>
      <c r="B3" s="102" t="s">
        <v>274</v>
      </c>
    </row>
    <row r="5" spans="1:13" ht="12" x14ac:dyDescent="0.25">
      <c r="C5" s="218" t="s">
        <v>51</v>
      </c>
      <c r="D5" s="218"/>
      <c r="F5" s="218" t="s">
        <v>52</v>
      </c>
      <c r="G5" s="218"/>
      <c r="I5" s="218" t="s">
        <v>53</v>
      </c>
      <c r="J5" s="218"/>
      <c r="L5" s="218" t="s">
        <v>248</v>
      </c>
      <c r="M5" s="218"/>
    </row>
    <row r="6" spans="1:13" ht="24" x14ac:dyDescent="0.25">
      <c r="B6" s="36" t="s">
        <v>171</v>
      </c>
      <c r="C6" s="62" t="s">
        <v>198</v>
      </c>
      <c r="D6" s="62" t="s">
        <v>234</v>
      </c>
      <c r="F6" s="62" t="s">
        <v>198</v>
      </c>
      <c r="G6" s="62" t="s">
        <v>234</v>
      </c>
      <c r="I6" s="62" t="s">
        <v>198</v>
      </c>
      <c r="J6" s="62" t="s">
        <v>234</v>
      </c>
      <c r="L6" s="65" t="s">
        <v>198</v>
      </c>
      <c r="M6" s="65" t="s">
        <v>234</v>
      </c>
    </row>
    <row r="7" spans="1:13" x14ac:dyDescent="0.25">
      <c r="B7" s="8" t="s">
        <v>223</v>
      </c>
      <c r="C7" s="16">
        <f>8164/133449*360</f>
        <v>22.023694445068902</v>
      </c>
      <c r="D7" s="138">
        <f>C7</f>
        <v>22.023694445068902</v>
      </c>
      <c r="F7" s="134">
        <f>10663/133449*360</f>
        <v>28.765146235640582</v>
      </c>
      <c r="G7" s="138">
        <f>F7</f>
        <v>28.765146235640582</v>
      </c>
      <c r="I7" s="134">
        <f>23929/114869*360</f>
        <v>74.993601406819948</v>
      </c>
      <c r="J7" s="138">
        <f>I7</f>
        <v>74.993601406819948</v>
      </c>
      <c r="L7" s="135">
        <f>C7+F7-I7</f>
        <v>-24.204760726110464</v>
      </c>
      <c r="M7" s="139">
        <f>L7</f>
        <v>-24.204760726110464</v>
      </c>
    </row>
    <row r="8" spans="1:13" x14ac:dyDescent="0.25">
      <c r="B8" s="8" t="s">
        <v>224</v>
      </c>
      <c r="C8" s="16">
        <f>11102/141546*360</f>
        <v>28.236191768047135</v>
      </c>
      <c r="D8" s="138">
        <f t="shared" ref="D8:D11" si="0">C8</f>
        <v>28.236191768047135</v>
      </c>
      <c r="F8" s="16">
        <f>8319/141546*360</f>
        <v>21.1580687550337</v>
      </c>
      <c r="G8" s="138">
        <f t="shared" ref="G8:G11" si="1">F8</f>
        <v>21.1580687550337</v>
      </c>
      <c r="I8" s="16">
        <f>21296/126584*360</f>
        <v>60.565000315995704</v>
      </c>
      <c r="J8" s="138">
        <f t="shared" ref="J8:J11" si="2">I8</f>
        <v>60.565000315995704</v>
      </c>
      <c r="L8" s="135">
        <f t="shared" ref="L8:M17" si="3">C8+F8-I8</f>
        <v>-11.170739792914873</v>
      </c>
      <c r="M8" s="139">
        <f t="shared" ref="M8:M11" si="4">L8</f>
        <v>-11.170739792914873</v>
      </c>
    </row>
    <row r="9" spans="1:13" x14ac:dyDescent="0.25">
      <c r="B9" s="8" t="s">
        <v>225</v>
      </c>
      <c r="C9" s="16">
        <f>7887/110936*360</f>
        <v>25.594216485180642</v>
      </c>
      <c r="D9" s="138">
        <f t="shared" si="0"/>
        <v>25.594216485180642</v>
      </c>
      <c r="F9" s="16">
        <f>12922/110936*360</f>
        <v>41.933366986370515</v>
      </c>
      <c r="G9" s="138">
        <f t="shared" si="1"/>
        <v>41.933366986370515</v>
      </c>
      <c r="I9" s="16">
        <f>21939/93975*360</f>
        <v>84.044054269752593</v>
      </c>
      <c r="J9" s="138">
        <f t="shared" si="2"/>
        <v>84.044054269752593</v>
      </c>
      <c r="L9" s="135">
        <f t="shared" si="3"/>
        <v>-16.516470798201439</v>
      </c>
      <c r="M9" s="139">
        <f t="shared" si="4"/>
        <v>-16.516470798201439</v>
      </c>
    </row>
    <row r="10" spans="1:13" x14ac:dyDescent="0.25">
      <c r="B10" s="8" t="s">
        <v>226</v>
      </c>
      <c r="C10" s="16">
        <f>(2667)/98678*360</f>
        <v>9.7298283305296014</v>
      </c>
      <c r="D10" s="138">
        <f t="shared" si="0"/>
        <v>9.7298283305296014</v>
      </c>
      <c r="F10" s="16">
        <f>(12707)/98678*360</f>
        <v>46.358053466831514</v>
      </c>
      <c r="G10" s="138">
        <f t="shared" si="1"/>
        <v>46.358053466831514</v>
      </c>
      <c r="I10" s="16">
        <f>9731/78744*360</f>
        <v>44.487960987503811</v>
      </c>
      <c r="J10" s="138">
        <f t="shared" si="2"/>
        <v>44.487960987503811</v>
      </c>
      <c r="L10" s="135">
        <f t="shared" si="3"/>
        <v>11.599920809857302</v>
      </c>
      <c r="M10" s="139">
        <f t="shared" si="4"/>
        <v>11.599920809857302</v>
      </c>
    </row>
    <row r="11" spans="1:13" x14ac:dyDescent="0.25">
      <c r="B11" s="8" t="s">
        <v>227</v>
      </c>
      <c r="C11" s="16">
        <f>13357/230682*360</f>
        <v>20.844799334148309</v>
      </c>
      <c r="D11" s="138">
        <f t="shared" si="0"/>
        <v>20.844799334148309</v>
      </c>
      <c r="F11" s="16">
        <f>40415/230682*360</f>
        <v>63.071240929071188</v>
      </c>
      <c r="G11" s="138">
        <f t="shared" si="1"/>
        <v>63.071240929071188</v>
      </c>
      <c r="I11" s="16">
        <f>23046/188140*360</f>
        <v>44.097799511002449</v>
      </c>
      <c r="J11" s="138">
        <f t="shared" si="2"/>
        <v>44.097799511002449</v>
      </c>
      <c r="L11" s="135">
        <f t="shared" si="3"/>
        <v>39.818240752217051</v>
      </c>
      <c r="M11" s="139">
        <f t="shared" si="4"/>
        <v>39.818240752217051</v>
      </c>
    </row>
    <row r="12" spans="1:13" x14ac:dyDescent="0.25">
      <c r="B12" s="129" t="s">
        <v>228</v>
      </c>
      <c r="C12" s="137">
        <f>1273/24339*360</f>
        <v>18.829039812646371</v>
      </c>
      <c r="D12" s="114"/>
      <c r="E12" s="129"/>
      <c r="F12" s="137">
        <f>3464/24339*360</f>
        <v>51.236287439911251</v>
      </c>
      <c r="G12" s="114"/>
      <c r="H12" s="129"/>
      <c r="I12" s="137">
        <f>6508/15071*360</f>
        <v>155.45617410921639</v>
      </c>
      <c r="J12" s="114"/>
      <c r="L12" s="135">
        <f t="shared" si="3"/>
        <v>-85.390846856658769</v>
      </c>
      <c r="M12" s="114"/>
    </row>
    <row r="13" spans="1:13" x14ac:dyDescent="0.25">
      <c r="B13" s="8" t="s">
        <v>229</v>
      </c>
      <c r="C13" s="16">
        <f>598/23491*360</f>
        <v>9.1643608190370784</v>
      </c>
      <c r="D13" s="138">
        <f t="shared" ref="D13:D15" si="5">C13</f>
        <v>9.1643608190370784</v>
      </c>
      <c r="F13" s="16">
        <f>3051/23491*360</f>
        <v>46.756630198799542</v>
      </c>
      <c r="G13" s="138">
        <f t="shared" ref="G13:G15" si="6">F13</f>
        <v>46.756630198799542</v>
      </c>
      <c r="I13" s="16">
        <f>3048/16872*360</f>
        <v>65.035561877667135</v>
      </c>
      <c r="J13" s="138">
        <f t="shared" ref="J13:J15" si="7">I13</f>
        <v>65.035561877667135</v>
      </c>
      <c r="L13" s="135">
        <f t="shared" si="3"/>
        <v>-9.1145708598305148</v>
      </c>
      <c r="M13" s="139">
        <f t="shared" ref="M13:M15" si="8">L13</f>
        <v>-9.1145708598305148</v>
      </c>
    </row>
    <row r="14" spans="1:13" x14ac:dyDescent="0.25">
      <c r="B14" s="8" t="s">
        <v>230</v>
      </c>
      <c r="C14" s="16">
        <f>239410/3416890*360</f>
        <v>25.223990236735744</v>
      </c>
      <c r="D14" s="138">
        <f t="shared" si="5"/>
        <v>25.223990236735744</v>
      </c>
      <c r="F14" s="16">
        <f>393765/3416890*360</f>
        <v>41.486673554021351</v>
      </c>
      <c r="G14" s="138">
        <f t="shared" si="6"/>
        <v>41.486673554021351</v>
      </c>
      <c r="I14" s="16">
        <f>607505/1650860*360</f>
        <v>132.47749657754142</v>
      </c>
      <c r="J14" s="138">
        <f t="shared" si="7"/>
        <v>132.47749657754142</v>
      </c>
      <c r="L14" s="135">
        <f t="shared" si="3"/>
        <v>-65.76683278678432</v>
      </c>
      <c r="M14" s="139">
        <f t="shared" si="8"/>
        <v>-65.76683278678432</v>
      </c>
    </row>
    <row r="15" spans="1:13" x14ac:dyDescent="0.25">
      <c r="B15" s="8" t="s">
        <v>231</v>
      </c>
      <c r="C15" s="16">
        <f>9024/119713*360</f>
        <v>27.136902424966379</v>
      </c>
      <c r="D15" s="138">
        <f t="shared" si="5"/>
        <v>27.136902424966379</v>
      </c>
      <c r="F15" s="16">
        <f>21589/119713*360</f>
        <v>64.922272434906816</v>
      </c>
      <c r="G15" s="138">
        <f t="shared" si="6"/>
        <v>64.922272434906816</v>
      </c>
      <c r="I15" s="16">
        <f>14016/90238*360</f>
        <v>55.91613289301624</v>
      </c>
      <c r="J15" s="138">
        <f t="shared" si="7"/>
        <v>55.91613289301624</v>
      </c>
      <c r="L15" s="135">
        <f t="shared" si="3"/>
        <v>36.143041966856956</v>
      </c>
      <c r="M15" s="139">
        <f t="shared" si="8"/>
        <v>36.143041966856956</v>
      </c>
    </row>
    <row r="16" spans="1:13" x14ac:dyDescent="0.25">
      <c r="B16" s="129" t="s">
        <v>232</v>
      </c>
      <c r="C16" s="137">
        <f>2171/14342*360</f>
        <v>54.494491702691398</v>
      </c>
      <c r="D16" s="114"/>
      <c r="E16" s="129"/>
      <c r="F16" s="137">
        <f>3397/14342*360</f>
        <v>85.268442337191473</v>
      </c>
      <c r="G16" s="114"/>
      <c r="H16" s="129"/>
      <c r="I16" s="137">
        <f>1925/11671*360</f>
        <v>59.377945334590009</v>
      </c>
      <c r="J16" s="114"/>
      <c r="L16" s="135">
        <f t="shared" si="3"/>
        <v>80.384988705292869</v>
      </c>
      <c r="M16" s="114"/>
    </row>
    <row r="17" spans="2:13" x14ac:dyDescent="0.25">
      <c r="B17" s="8" t="s">
        <v>233</v>
      </c>
      <c r="C17" s="16">
        <f>1127.9/18187.5*360</f>
        <v>22.325443298969073</v>
      </c>
      <c r="D17" s="138">
        <f>C17</f>
        <v>22.325443298969073</v>
      </c>
      <c r="F17" s="16">
        <f>928.4/18187.5*360</f>
        <v>18.376577319587629</v>
      </c>
      <c r="G17" s="138">
        <f>F17</f>
        <v>18.376577319587629</v>
      </c>
      <c r="I17" s="16">
        <f>2569.5/15593.7*360</f>
        <v>59.320110044441016</v>
      </c>
      <c r="J17" s="138">
        <f>I17</f>
        <v>59.320110044441016</v>
      </c>
      <c r="L17" s="135">
        <f t="shared" si="3"/>
        <v>-18.618089425884314</v>
      </c>
      <c r="M17" s="135">
        <f t="shared" si="3"/>
        <v>-18.618089425884314</v>
      </c>
    </row>
    <row r="18" spans="2:13" ht="12" x14ac:dyDescent="0.25">
      <c r="B18" s="9" t="s">
        <v>198</v>
      </c>
      <c r="C18" s="141">
        <f>AVERAGE(C7:C17)</f>
        <v>23.963905332547327</v>
      </c>
      <c r="D18" s="141">
        <f>AVERAGE(D7:D17)</f>
        <v>21.142158571409208</v>
      </c>
      <c r="F18" s="141">
        <f>AVERAGE(F7:F17)</f>
        <v>46.302978150669595</v>
      </c>
      <c r="G18" s="141">
        <f>AVERAGE(G7:G17)</f>
        <v>41.425336653362535</v>
      </c>
      <c r="I18" s="141">
        <f>AVERAGE(I7:I17)</f>
        <v>75.979257938867875</v>
      </c>
      <c r="J18" s="141">
        <f>AVERAGE(J7:J17)</f>
        <v>68.993079764860028</v>
      </c>
      <c r="L18" s="136">
        <f>AVERAGE(L7:L17)</f>
        <v>-5.7123744556509575</v>
      </c>
      <c r="M18" s="136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18" t="s">
        <v>249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8.8" customHeight="1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</row>
    <row r="5" spans="2:19" x14ac:dyDescent="0.25">
      <c r="B5" s="8" t="s">
        <v>93</v>
      </c>
      <c r="C5" s="132">
        <f>'Balance Sheet Input'!C6/1000</f>
        <v>226.60400000000001</v>
      </c>
      <c r="D5" s="132">
        <f>'Balance Sheet Input'!D6/1000</f>
        <v>168.965</v>
      </c>
      <c r="E5" s="132">
        <f>'Balance Sheet Input'!E6/1000</f>
        <v>499.142</v>
      </c>
      <c r="F5" s="132">
        <f>'Balance Sheet Input'!F6/1000</f>
        <v>515.38099999999997</v>
      </c>
      <c r="G5" s="172">
        <f>'Balance Sheet Input'!G6/1000</f>
        <v>569.87400000000002</v>
      </c>
      <c r="H5" s="131"/>
      <c r="I5" s="133">
        <f>I11*('P&amp;L'!I5)/360</f>
        <v>957.66763893271502</v>
      </c>
      <c r="J5" s="133">
        <f>J11*('P&amp;L'!J5)/360</f>
        <v>1227.5052444685768</v>
      </c>
      <c r="K5" s="133">
        <f>K11*('P&amp;L'!K5)/360</f>
        <v>2210.1892648456496</v>
      </c>
      <c r="L5" s="133">
        <f>L11*('P&amp;L'!L5)/360</f>
        <v>2934.7483489782221</v>
      </c>
      <c r="M5" s="133">
        <f>M11*('P&amp;L'!M5)/360</f>
        <v>3789.7164998360863</v>
      </c>
      <c r="N5" s="133">
        <f>N11*('P&amp;L'!N5)/360</f>
        <v>4063.723965024582</v>
      </c>
      <c r="O5" s="133">
        <f>O11*('P&amp;L'!O5)/360</f>
        <v>4361.0106487584526</v>
      </c>
      <c r="P5" s="133">
        <f>P11*('P&amp;L'!P5)/360</f>
        <v>4528.441430243488</v>
      </c>
      <c r="Q5" s="133">
        <f>Q11*('P&amp;L'!Q5)/360</f>
        <v>4703.3251647189436</v>
      </c>
      <c r="R5" s="133">
        <f>R11*('P&amp;L'!R5)/360</f>
        <v>4807.9320399751641</v>
      </c>
      <c r="S5" s="133">
        <f>S11*('P&amp;L'!S5)/360</f>
        <v>4915.2634750542211</v>
      </c>
    </row>
    <row r="6" spans="2:19" x14ac:dyDescent="0.25">
      <c r="B6" s="8" t="s">
        <v>9</v>
      </c>
      <c r="C6" s="132">
        <f>'Balance Sheet Input'!C7/1000</f>
        <v>953.67499999999995</v>
      </c>
      <c r="D6" s="132">
        <f>'Balance Sheet Input'!D7/1000</f>
        <v>1277.838</v>
      </c>
      <c r="E6" s="132">
        <f>'Balance Sheet Input'!E7/1000</f>
        <v>2067.4540000000002</v>
      </c>
      <c r="F6" s="132">
        <f>'Balance Sheet Input'!F7/1000</f>
        <v>2263.5369999999998</v>
      </c>
      <c r="G6" s="172">
        <f>'Balance Sheet Input'!G7/1000</f>
        <v>3324.643</v>
      </c>
      <c r="H6" s="131"/>
      <c r="I6" s="133">
        <f>-I12*('P&amp;L'!I$6)/360</f>
        <v>5073.0594185107193</v>
      </c>
      <c r="J6" s="133">
        <f>-J12*('P&amp;L'!J$6)/360</f>
        <v>6647.8713071795773</v>
      </c>
      <c r="K6" s="133">
        <f>-K12*('P&amp;L'!K$6)/360</f>
        <v>11905.755528538521</v>
      </c>
      <c r="L6" s="133">
        <f>-L12*('P&amp;L'!L$6)/360</f>
        <v>15715.978376627965</v>
      </c>
      <c r="M6" s="133">
        <f>-M12*('P&amp;L'!M$6)/360</f>
        <v>20209.277553887954</v>
      </c>
      <c r="N6" s="133">
        <f>-N12*('P&amp;L'!N$6)/360</f>
        <v>21660.528220369808</v>
      </c>
      <c r="O6" s="133">
        <f>-O12*('P&amp;L'!O$6)/360</f>
        <v>23234.220177268791</v>
      </c>
      <c r="P6" s="133">
        <f>-P12*('P&amp;L'!P$6)/360</f>
        <v>24118.642963943967</v>
      </c>
      <c r="Q6" s="133">
        <f>-Q12*('P&amp;L'!Q$6)/360</f>
        <v>25042.253416448857</v>
      </c>
      <c r="R6" s="133">
        <f>-R12*('P&amp;L'!R$6)/360</f>
        <v>25600.659494765179</v>
      </c>
      <c r="S6" s="133">
        <f>-S12*('P&amp;L'!S$6)/360</f>
        <v>26173.687355247061</v>
      </c>
    </row>
    <row r="7" spans="2:19" x14ac:dyDescent="0.25">
      <c r="B7" s="8" t="s">
        <v>94</v>
      </c>
      <c r="C7" s="132">
        <f>'Balance Sheet Input'!C18/1000</f>
        <v>777.94600000000003</v>
      </c>
      <c r="D7" s="132">
        <f>'Balance Sheet Input'!D18/1000</f>
        <v>916.14800000000002</v>
      </c>
      <c r="E7" s="132">
        <f>'Balance Sheet Input'!E18/1000</f>
        <v>1860.3409999999999</v>
      </c>
      <c r="F7" s="132">
        <f>'Balance Sheet Input'!F18/1000</f>
        <v>2390.25</v>
      </c>
      <c r="G7" s="172">
        <f>'Balance Sheet Input'!G18/1000</f>
        <v>3030.4929999999999</v>
      </c>
      <c r="H7" s="131"/>
      <c r="I7" s="133">
        <f>-I13*('P&amp;L'!I$6)/360</f>
        <v>4358.4202947927433</v>
      </c>
      <c r="J7" s="133">
        <f>-J13*('P&amp;L'!J$6)/360</f>
        <v>5711.3892884163561</v>
      </c>
      <c r="K7" s="133">
        <f>-K13*('P&amp;L'!K$6)/360</f>
        <v>10228.598216509052</v>
      </c>
      <c r="L7" s="133">
        <f>-L13*('P&amp;L'!L$6)/360</f>
        <v>13502.077042363444</v>
      </c>
      <c r="M7" s="133">
        <f>-M13*('P&amp;L'!M$6)/360</f>
        <v>17362.407606063916</v>
      </c>
      <c r="N7" s="133">
        <f>-N13*('P&amp;L'!N$6)/360</f>
        <v>18609.221379730076</v>
      </c>
      <c r="O7" s="133">
        <f>-O13*('P&amp;L'!O$6)/360</f>
        <v>19961.228205763695</v>
      </c>
      <c r="P7" s="133">
        <f>-P13*('P&amp;L'!P$6)/360</f>
        <v>20721.062835052122</v>
      </c>
      <c r="Q7" s="133">
        <f>-Q13*('P&amp;L'!Q$6)/360</f>
        <v>21514.564784978378</v>
      </c>
      <c r="R7" s="133">
        <f>-R13*('P&amp;L'!R$6)/360</f>
        <v>21994.308502465519</v>
      </c>
      <c r="S7" s="133">
        <f>-S13*('P&amp;L'!S$6)/360</f>
        <v>22486.614239609651</v>
      </c>
    </row>
    <row r="8" spans="2:19" ht="13.8" thickBot="1" x14ac:dyDescent="0.3">
      <c r="B8" s="116" t="s">
        <v>248</v>
      </c>
      <c r="C8" s="127">
        <f>C5+C6-C7</f>
        <v>402.33299999999997</v>
      </c>
      <c r="D8" s="127">
        <f>D5+D6-D7</f>
        <v>530.65499999999986</v>
      </c>
      <c r="E8" s="127">
        <f>E5+E6-E7</f>
        <v>706.25500000000011</v>
      </c>
      <c r="F8" s="127">
        <f>F5+F6-F7</f>
        <v>388.66799999999967</v>
      </c>
      <c r="G8" s="127">
        <f>G5+G6-G7</f>
        <v>864.02399999999989</v>
      </c>
      <c r="H8" s="127"/>
      <c r="I8" s="127">
        <f t="shared" ref="I8:N8" si="0">I5+I6-I7</f>
        <v>1672.3067626506909</v>
      </c>
      <c r="J8" s="127">
        <f t="shared" si="0"/>
        <v>2163.9872632317984</v>
      </c>
      <c r="K8" s="127">
        <f t="shared" si="0"/>
        <v>3887.3465768751175</v>
      </c>
      <c r="L8" s="127">
        <f t="shared" si="0"/>
        <v>5148.649683242742</v>
      </c>
      <c r="M8" s="127">
        <f t="shared" si="0"/>
        <v>6636.5864476601237</v>
      </c>
      <c r="N8" s="127">
        <f t="shared" si="0"/>
        <v>7115.0308056643153</v>
      </c>
      <c r="O8" s="127">
        <f t="shared" ref="O8:S8" si="1">O5+O6-O7</f>
        <v>7634.002620263549</v>
      </c>
      <c r="P8" s="127">
        <f t="shared" si="1"/>
        <v>7926.0215591353335</v>
      </c>
      <c r="Q8" s="127">
        <f t="shared" si="1"/>
        <v>8231.0137961894216</v>
      </c>
      <c r="R8" s="127">
        <f t="shared" si="1"/>
        <v>8414.2830322748232</v>
      </c>
      <c r="S8" s="127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108" t="s">
        <v>70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</row>
    <row r="11" spans="2:19" s="26" customFormat="1" x14ac:dyDescent="0.25">
      <c r="B11" s="92" t="s">
        <v>51</v>
      </c>
      <c r="C11" s="130">
        <f>'Balance Sheet Input'!C39</f>
        <v>25.506053735106413</v>
      </c>
      <c r="D11" s="130">
        <f>'Balance Sheet Input'!D39</f>
        <v>15.033866572747325</v>
      </c>
      <c r="E11" s="130">
        <f>'Balance Sheet Input'!E39</f>
        <v>25.66967594325364</v>
      </c>
      <c r="F11" s="130">
        <f>'Balance Sheet Input'!F39</f>
        <v>15.77864519794662</v>
      </c>
      <c r="G11" s="130">
        <f>'Balance Sheet Input'!G39</f>
        <v>13.841258823729435</v>
      </c>
      <c r="H11" s="130"/>
      <c r="I11" s="130">
        <f>AVERAGE($C11:$G11)</f>
        <v>19.165900054556683</v>
      </c>
      <c r="J11" s="130">
        <f t="shared" ref="J11:S13" si="2">AVERAGE($C11:$G11)</f>
        <v>19.165900054556683</v>
      </c>
      <c r="K11" s="130">
        <f t="shared" si="2"/>
        <v>19.165900054556683</v>
      </c>
      <c r="L11" s="130">
        <f t="shared" si="2"/>
        <v>19.165900054556683</v>
      </c>
      <c r="M11" s="130">
        <f t="shared" si="2"/>
        <v>19.165900054556683</v>
      </c>
      <c r="N11" s="130">
        <f t="shared" si="2"/>
        <v>19.165900054556683</v>
      </c>
      <c r="O11" s="130">
        <f t="shared" si="2"/>
        <v>19.165900054556683</v>
      </c>
      <c r="P11" s="130">
        <f t="shared" si="2"/>
        <v>19.165900054556683</v>
      </c>
      <c r="Q11" s="130">
        <f t="shared" si="2"/>
        <v>19.165900054556683</v>
      </c>
      <c r="R11" s="130">
        <f t="shared" si="2"/>
        <v>19.165900054556683</v>
      </c>
      <c r="S11" s="130">
        <f t="shared" si="2"/>
        <v>19.165900054556683</v>
      </c>
    </row>
    <row r="12" spans="2:19" s="26" customFormat="1" x14ac:dyDescent="0.25">
      <c r="B12" s="92" t="s">
        <v>52</v>
      </c>
      <c r="C12" s="130">
        <f>'Balance Sheet Input'!C40</f>
        <v>148.19580564470351</v>
      </c>
      <c r="D12" s="130">
        <f>'Balance Sheet Input'!D40</f>
        <v>147.32375944829212</v>
      </c>
      <c r="E12" s="130">
        <f>'Balance Sheet Input'!E40</f>
        <v>137.80793667692734</v>
      </c>
      <c r="F12" s="130">
        <f>'Balance Sheet Input'!F40</f>
        <v>85.449953986173199</v>
      </c>
      <c r="G12" s="130">
        <f>'Balance Sheet Input'!G40</f>
        <v>94.457151624032477</v>
      </c>
      <c r="H12" s="130"/>
      <c r="I12" s="130">
        <f>AVERAGE($C12:$G12)</f>
        <v>122.64692147602572</v>
      </c>
      <c r="J12" s="130">
        <f t="shared" si="2"/>
        <v>122.64692147602572</v>
      </c>
      <c r="K12" s="130">
        <f t="shared" si="2"/>
        <v>122.64692147602572</v>
      </c>
      <c r="L12" s="130">
        <f t="shared" si="2"/>
        <v>122.64692147602572</v>
      </c>
      <c r="M12" s="130">
        <f t="shared" si="2"/>
        <v>122.64692147602572</v>
      </c>
      <c r="N12" s="130">
        <f t="shared" si="2"/>
        <v>122.64692147602572</v>
      </c>
      <c r="O12" s="130">
        <f t="shared" si="2"/>
        <v>122.64692147602572</v>
      </c>
      <c r="P12" s="130">
        <f t="shared" si="2"/>
        <v>122.64692147602572</v>
      </c>
      <c r="Q12" s="130">
        <f t="shared" si="2"/>
        <v>122.64692147602572</v>
      </c>
      <c r="R12" s="130">
        <f t="shared" si="2"/>
        <v>122.64692147602572</v>
      </c>
      <c r="S12" s="130">
        <f t="shared" si="2"/>
        <v>122.64692147602572</v>
      </c>
    </row>
    <row r="13" spans="2:19" s="26" customFormat="1" x14ac:dyDescent="0.25">
      <c r="B13" s="92" t="s">
        <v>53</v>
      </c>
      <c r="C13" s="130">
        <f>'Balance Sheet Input'!C41</f>
        <v>120.88849368817945</v>
      </c>
      <c r="D13" s="130">
        <f>'Balance Sheet Input'!D41</f>
        <v>105.62400521117225</v>
      </c>
      <c r="E13" s="130">
        <f>'Balance Sheet Input'!E41</f>
        <v>124.00264031291226</v>
      </c>
      <c r="F13" s="130">
        <f>'Balance Sheet Input'!F41</f>
        <v>90.233449912879919</v>
      </c>
      <c r="G13" s="130">
        <f>'Balance Sheet Input'!G41</f>
        <v>86.099992328971581</v>
      </c>
      <c r="H13" s="130"/>
      <c r="I13" s="130">
        <f t="shared" ref="I13" si="3">AVERAGE($C13:$G13)</f>
        <v>105.36971629082309</v>
      </c>
      <c r="J13" s="130">
        <f t="shared" si="2"/>
        <v>105.36971629082309</v>
      </c>
      <c r="K13" s="130">
        <f t="shared" si="2"/>
        <v>105.36971629082309</v>
      </c>
      <c r="L13" s="130">
        <f t="shared" si="2"/>
        <v>105.36971629082309</v>
      </c>
      <c r="M13" s="130">
        <f t="shared" si="2"/>
        <v>105.36971629082309</v>
      </c>
      <c r="N13" s="130">
        <f t="shared" si="2"/>
        <v>105.36971629082309</v>
      </c>
      <c r="O13" s="130">
        <f t="shared" si="2"/>
        <v>105.36971629082309</v>
      </c>
      <c r="P13" s="130">
        <f t="shared" si="2"/>
        <v>105.36971629082309</v>
      </c>
      <c r="Q13" s="130">
        <f t="shared" si="2"/>
        <v>105.36971629082309</v>
      </c>
      <c r="R13" s="130">
        <f t="shared" si="2"/>
        <v>105.36971629082309</v>
      </c>
      <c r="S13" s="130">
        <f t="shared" si="2"/>
        <v>105.36971629082309</v>
      </c>
    </row>
    <row r="14" spans="2:19" x14ac:dyDescent="0.25">
      <c r="B14" s="140" t="s">
        <v>248</v>
      </c>
      <c r="C14" s="130">
        <f>C11+C12-C13</f>
        <v>52.813365691630466</v>
      </c>
      <c r="D14" s="130">
        <f>D11+D12-D13</f>
        <v>56.73362080986719</v>
      </c>
      <c r="E14" s="130">
        <f>E11+E12-E13</f>
        <v>39.474972307268729</v>
      </c>
      <c r="F14" s="130">
        <f>F11+F12-F13</f>
        <v>10.995149271239896</v>
      </c>
      <c r="G14" s="130">
        <f>G11+G12-G13</f>
        <v>22.198418118790329</v>
      </c>
      <c r="H14" s="130"/>
      <c r="I14" s="130">
        <f>I11+I12-I13</f>
        <v>36.443105239759305</v>
      </c>
      <c r="J14" s="130">
        <f>J11+J12-J13</f>
        <v>36.443105239759305</v>
      </c>
      <c r="K14" s="130">
        <f>K11+K12-K13</f>
        <v>36.443105239759305</v>
      </c>
      <c r="L14" s="130">
        <f t="shared" ref="L14:S14" si="4">L11+L12-L13</f>
        <v>36.443105239759305</v>
      </c>
      <c r="M14" s="130">
        <f t="shared" si="4"/>
        <v>36.443105239759305</v>
      </c>
      <c r="N14" s="130">
        <f t="shared" si="4"/>
        <v>36.443105239759305</v>
      </c>
      <c r="O14" s="130">
        <f t="shared" si="4"/>
        <v>36.443105239759305</v>
      </c>
      <c r="P14" s="130">
        <f t="shared" si="4"/>
        <v>36.443105239759305</v>
      </c>
      <c r="Q14" s="130">
        <f t="shared" si="4"/>
        <v>36.443105239759305</v>
      </c>
      <c r="R14" s="130">
        <f t="shared" si="4"/>
        <v>36.443105239759305</v>
      </c>
      <c r="S14" s="130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32" sqref="H32:H33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42">
        <v>0.5</v>
      </c>
    </row>
    <row r="5" spans="1:19" ht="12" x14ac:dyDescent="0.25">
      <c r="B5" s="20" t="s">
        <v>116</v>
      </c>
      <c r="C5" s="142">
        <v>0.5</v>
      </c>
    </row>
    <row r="6" spans="1:19" x14ac:dyDescent="0.2">
      <c r="C6" s="46"/>
    </row>
    <row r="7" spans="1:19" x14ac:dyDescent="0.2">
      <c r="B7" s="20" t="s">
        <v>314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18" t="s">
        <v>253</v>
      </c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27" customHeight="1" x14ac:dyDescent="0.25">
      <c r="B10" s="5" t="s">
        <v>259</v>
      </c>
      <c r="C10" s="6" t="s">
        <v>238</v>
      </c>
      <c r="D10" s="6" t="s">
        <v>239</v>
      </c>
      <c r="E10" s="6" t="s">
        <v>240</v>
      </c>
      <c r="F10" s="6" t="s">
        <v>243</v>
      </c>
      <c r="G10" s="6" t="s">
        <v>241</v>
      </c>
      <c r="H10" s="98"/>
      <c r="I10" s="98" t="s">
        <v>282</v>
      </c>
      <c r="J10" s="98" t="s">
        <v>283</v>
      </c>
      <c r="K10" s="98" t="s">
        <v>284</v>
      </c>
      <c r="L10" s="98" t="s">
        <v>285</v>
      </c>
      <c r="M10" s="98" t="s">
        <v>286</v>
      </c>
      <c r="N10" s="98" t="s">
        <v>287</v>
      </c>
      <c r="O10" s="98" t="s">
        <v>288</v>
      </c>
      <c r="P10" s="98" t="s">
        <v>289</v>
      </c>
      <c r="Q10" s="98" t="s">
        <v>290</v>
      </c>
      <c r="R10" s="98" t="s">
        <v>291</v>
      </c>
      <c r="S10" s="98" t="s">
        <v>292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44"/>
      <c r="I11" s="198">
        <f>G11+H19</f>
        <v>9513.39</v>
      </c>
      <c r="J11" s="198">
        <f>I11+I19</f>
        <v>9513.39</v>
      </c>
      <c r="K11" s="198">
        <f t="shared" ref="K11:N11" si="0">J11+J19</f>
        <v>9881.2852067316817</v>
      </c>
      <c r="L11" s="198">
        <f t="shared" si="0"/>
        <v>9881.2852067316817</v>
      </c>
      <c r="M11" s="198">
        <f t="shared" si="0"/>
        <v>9881.2852067316817</v>
      </c>
      <c r="N11" s="198">
        <f t="shared" si="0"/>
        <v>9881.2852067316817</v>
      </c>
      <c r="O11" s="198">
        <f t="shared" ref="O11" si="1">N11+N19</f>
        <v>9881.2852067316817</v>
      </c>
      <c r="P11" s="198">
        <f t="shared" ref="P11" si="2">O11+O19</f>
        <v>9881.2852067316817</v>
      </c>
      <c r="Q11" s="198">
        <f t="shared" ref="Q11" si="3">P11+P19</f>
        <v>9881.2852067316817</v>
      </c>
      <c r="R11" s="198">
        <f t="shared" ref="R11" si="4">Q11+Q19</f>
        <v>9881.2852067316817</v>
      </c>
      <c r="S11" s="198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43">
        <f>I12-G12</f>
        <v>-400.37624999999997</v>
      </c>
      <c r="I12" s="199">
        <f>-I11*I13</f>
        <v>-713.50424999999996</v>
      </c>
      <c r="J12" s="199">
        <f t="shared" ref="J12:S12" si="6">-J11*J13</f>
        <v>-713.50424999999996</v>
      </c>
      <c r="K12" s="199">
        <f t="shared" si="6"/>
        <v>-741.09639050487613</v>
      </c>
      <c r="L12" s="199">
        <f t="shared" si="6"/>
        <v>-741.09639050487613</v>
      </c>
      <c r="M12" s="199">
        <f t="shared" si="6"/>
        <v>-741.09639050487613</v>
      </c>
      <c r="N12" s="199">
        <f t="shared" si="6"/>
        <v>-741.09639050487613</v>
      </c>
      <c r="O12" s="199">
        <f t="shared" si="6"/>
        <v>-741.09639050487613</v>
      </c>
      <c r="P12" s="199">
        <f t="shared" si="6"/>
        <v>-741.09639050487613</v>
      </c>
      <c r="Q12" s="199">
        <f t="shared" si="6"/>
        <v>-741.09639050487613</v>
      </c>
      <c r="R12" s="199">
        <f t="shared" si="6"/>
        <v>-741.09639050487613</v>
      </c>
      <c r="S12" s="199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46"/>
      <c r="I13" s="145">
        <f t="shared" ref="I13:S13" si="7">$C$7</f>
        <v>7.4999999999999997E-2</v>
      </c>
      <c r="J13" s="145">
        <f t="shared" si="7"/>
        <v>7.4999999999999997E-2</v>
      </c>
      <c r="K13" s="145">
        <f t="shared" si="7"/>
        <v>7.4999999999999997E-2</v>
      </c>
      <c r="L13" s="145">
        <f t="shared" si="7"/>
        <v>7.4999999999999997E-2</v>
      </c>
      <c r="M13" s="145">
        <f t="shared" si="7"/>
        <v>7.4999999999999997E-2</v>
      </c>
      <c r="N13" s="145">
        <f t="shared" si="7"/>
        <v>7.4999999999999997E-2</v>
      </c>
      <c r="O13" s="145">
        <f t="shared" si="7"/>
        <v>7.4999999999999997E-2</v>
      </c>
      <c r="P13" s="145">
        <f t="shared" si="7"/>
        <v>7.4999999999999997E-2</v>
      </c>
      <c r="Q13" s="145">
        <f t="shared" si="7"/>
        <v>7.4999999999999997E-2</v>
      </c>
      <c r="R13" s="145">
        <f t="shared" si="7"/>
        <v>7.4999999999999997E-2</v>
      </c>
      <c r="S13" s="145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18" t="s">
        <v>256</v>
      </c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164</v>
      </c>
      <c r="G17" s="6" t="s">
        <v>172</v>
      </c>
      <c r="H17" s="98" t="s">
        <v>183</v>
      </c>
      <c r="I17" s="98" t="s">
        <v>182</v>
      </c>
      <c r="J17" s="98" t="s">
        <v>184</v>
      </c>
      <c r="K17" s="98" t="s">
        <v>185</v>
      </c>
      <c r="L17" s="98" t="s">
        <v>186</v>
      </c>
      <c r="M17" s="98" t="s">
        <v>187</v>
      </c>
      <c r="N17" s="98" t="s">
        <v>188</v>
      </c>
      <c r="O17" s="98" t="s">
        <v>268</v>
      </c>
      <c r="P17" s="98" t="s">
        <v>269</v>
      </c>
      <c r="Q17" s="98" t="s">
        <v>270</v>
      </c>
      <c r="R17" s="98" t="s">
        <v>271</v>
      </c>
      <c r="S17" s="98" t="s">
        <v>272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97">
        <f>'Cash Flow'!H20</f>
        <v>1841.7282100679968</v>
      </c>
      <c r="I18" s="197"/>
      <c r="J18" s="197">
        <f>'Cash Flow'!J20</f>
        <v>-735.79041346336271</v>
      </c>
      <c r="K18" s="197">
        <f>'Cash Flow'!K20</f>
        <v>9022.7749762208296</v>
      </c>
      <c r="L18" s="197">
        <f>'Cash Flow'!L20</f>
        <v>7799.3542205863851</v>
      </c>
      <c r="M18" s="197">
        <f>'Cash Flow'!M20</f>
        <v>9833.8556204995002</v>
      </c>
      <c r="N18" s="197">
        <f>'Cash Flow'!N20</f>
        <v>2706.2476341897545</v>
      </c>
      <c r="O18" s="197">
        <f>'Cash Flow'!O20</f>
        <v>3015.5369594204949</v>
      </c>
      <c r="P18" s="197">
        <f>'Cash Flow'!P20</f>
        <v>1377.1818424049725</v>
      </c>
      <c r="Q18" s="197">
        <f>'Cash Flow'!Q20</f>
        <v>1439.824683525002</v>
      </c>
      <c r="R18" s="197">
        <f>'Cash Flow'!R20</f>
        <v>506.16873281726475</v>
      </c>
      <c r="S18" s="197">
        <f>'Cash Flow'!S20</f>
        <v>491.27381478358984</v>
      </c>
    </row>
    <row r="19" spans="2:19" x14ac:dyDescent="0.2">
      <c r="B19" s="20" t="s">
        <v>140</v>
      </c>
      <c r="G19" s="24"/>
      <c r="H19" s="198">
        <f t="shared" ref="H19:J20" si="8">IF(H$18&lt;0,-H$18*$C4,0)</f>
        <v>0</v>
      </c>
      <c r="I19" s="198">
        <f t="shared" si="8"/>
        <v>0</v>
      </c>
      <c r="J19" s="198">
        <f t="shared" si="8"/>
        <v>367.89520673168136</v>
      </c>
      <c r="K19" s="198">
        <f t="shared" ref="K19:S19" si="9">IF(K$18&lt;0,-K$18*$C4,0)</f>
        <v>0</v>
      </c>
      <c r="L19" s="198">
        <f t="shared" si="9"/>
        <v>0</v>
      </c>
      <c r="M19" s="198">
        <f t="shared" si="9"/>
        <v>0</v>
      </c>
      <c r="N19" s="198">
        <f t="shared" si="9"/>
        <v>0</v>
      </c>
      <c r="O19" s="198">
        <f t="shared" si="9"/>
        <v>0</v>
      </c>
      <c r="P19" s="198">
        <f t="shared" si="9"/>
        <v>0</v>
      </c>
      <c r="Q19" s="198">
        <f t="shared" si="9"/>
        <v>0</v>
      </c>
      <c r="R19" s="198">
        <f t="shared" si="9"/>
        <v>0</v>
      </c>
      <c r="S19" s="198">
        <f t="shared" si="9"/>
        <v>0</v>
      </c>
    </row>
    <row r="20" spans="2:19" x14ac:dyDescent="0.2">
      <c r="B20" s="20" t="s">
        <v>116</v>
      </c>
      <c r="G20" s="24"/>
      <c r="H20" s="198">
        <f t="shared" si="8"/>
        <v>0</v>
      </c>
      <c r="I20" s="198">
        <f t="shared" si="8"/>
        <v>0</v>
      </c>
      <c r="J20" s="198">
        <f t="shared" si="8"/>
        <v>367.89520673168136</v>
      </c>
      <c r="K20" s="198">
        <f t="shared" ref="K20:S20" si="10">IF(K$18&lt;0,-K$18*$C5,0)</f>
        <v>0</v>
      </c>
      <c r="L20" s="198">
        <f t="shared" si="10"/>
        <v>0</v>
      </c>
      <c r="M20" s="198">
        <f t="shared" si="10"/>
        <v>0</v>
      </c>
      <c r="N20" s="198">
        <f t="shared" si="10"/>
        <v>0</v>
      </c>
      <c r="O20" s="198">
        <f t="shared" si="10"/>
        <v>0</v>
      </c>
      <c r="P20" s="198">
        <f t="shared" si="10"/>
        <v>0</v>
      </c>
      <c r="Q20" s="198">
        <f t="shared" si="10"/>
        <v>0</v>
      </c>
      <c r="R20" s="198">
        <f t="shared" si="10"/>
        <v>0</v>
      </c>
      <c r="S20" s="198">
        <f t="shared" si="10"/>
        <v>0</v>
      </c>
    </row>
    <row r="21" spans="2:19" x14ac:dyDescent="0.2">
      <c r="I21" s="206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G24" sqref="G24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315</v>
      </c>
      <c r="C6" s="20">
        <f>Drivers!C9</f>
        <v>0.78</v>
      </c>
    </row>
    <row r="7" spans="2:19" x14ac:dyDescent="0.2">
      <c r="B7" s="20" t="s">
        <v>264</v>
      </c>
      <c r="C7" s="46">
        <f>Drivers!C12</f>
        <v>0.3</v>
      </c>
    </row>
    <row r="9" spans="2:19" ht="12" x14ac:dyDescent="0.25">
      <c r="B9" s="30" t="s">
        <v>156</v>
      </c>
      <c r="C9" s="31">
        <f>C4+C5*C6</f>
        <v>6.9700000000000012E-2</v>
      </c>
    </row>
    <row r="10" spans="2:19" ht="12" x14ac:dyDescent="0.25">
      <c r="B10" s="30" t="s">
        <v>316</v>
      </c>
      <c r="C10" s="31">
        <f>Drivers!C11</f>
        <v>7.4999999999999997E-2</v>
      </c>
    </row>
    <row r="13" spans="2:19" ht="12" x14ac:dyDescent="0.2">
      <c r="C13" s="218" t="s">
        <v>254</v>
      </c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2:19" ht="28.2" customHeight="1" x14ac:dyDescent="0.25">
      <c r="B14" s="5" t="s">
        <v>259</v>
      </c>
      <c r="C14" s="6" t="s">
        <v>238</v>
      </c>
      <c r="D14" s="6" t="s">
        <v>239</v>
      </c>
      <c r="E14" s="6" t="s">
        <v>240</v>
      </c>
      <c r="F14" s="6" t="s">
        <v>243</v>
      </c>
      <c r="G14" s="6" t="s">
        <v>241</v>
      </c>
      <c r="H14" s="98"/>
      <c r="I14" s="98" t="s">
        <v>282</v>
      </c>
      <c r="J14" s="98" t="s">
        <v>283</v>
      </c>
      <c r="K14" s="98" t="s">
        <v>284</v>
      </c>
      <c r="L14" s="98" t="s">
        <v>285</v>
      </c>
      <c r="M14" s="98" t="s">
        <v>286</v>
      </c>
      <c r="N14" s="98" t="s">
        <v>287</v>
      </c>
      <c r="O14" s="98" t="s">
        <v>288</v>
      </c>
      <c r="P14" s="98" t="s">
        <v>289</v>
      </c>
      <c r="Q14" s="98" t="s">
        <v>290</v>
      </c>
      <c r="R14" s="98" t="s">
        <v>291</v>
      </c>
      <c r="S14" s="98" t="s">
        <v>292</v>
      </c>
    </row>
    <row r="15" spans="2:19" x14ac:dyDescent="0.2">
      <c r="B15" s="20" t="s">
        <v>140</v>
      </c>
      <c r="C15" s="207">
        <f>'Balance Sheet'!C28</f>
        <v>2429.884</v>
      </c>
      <c r="D15" s="207">
        <f>'Balance Sheet'!D28</f>
        <v>2649.02</v>
      </c>
      <c r="E15" s="207">
        <f>'Balance Sheet'!E28</f>
        <v>6844.26</v>
      </c>
      <c r="F15" s="207">
        <f>'Balance Sheet'!F28</f>
        <v>10212.249</v>
      </c>
      <c r="G15" s="207">
        <f>'Balance Sheet'!G28</f>
        <v>11616.575000000001</v>
      </c>
      <c r="H15" s="165"/>
      <c r="I15" s="165">
        <f>'Balance Sheet'!I28</f>
        <v>11616.575000000001</v>
      </c>
      <c r="J15" s="165">
        <f>'Balance Sheet'!J28</f>
        <v>11984.470206731683</v>
      </c>
      <c r="K15" s="165">
        <f>'Balance Sheet'!K28</f>
        <v>11984.470206731683</v>
      </c>
      <c r="L15" s="165">
        <f>'Balance Sheet'!L28</f>
        <v>11984.470206731683</v>
      </c>
      <c r="M15" s="165">
        <f>'Balance Sheet'!M28</f>
        <v>11984.470206731683</v>
      </c>
      <c r="N15" s="165">
        <f>'Balance Sheet'!N28</f>
        <v>11984.470206731683</v>
      </c>
      <c r="O15" s="165">
        <f>'Balance Sheet'!O28</f>
        <v>11984.470206731683</v>
      </c>
      <c r="P15" s="165">
        <f>'Balance Sheet'!P28</f>
        <v>11984.470206731683</v>
      </c>
      <c r="Q15" s="165">
        <f>'Balance Sheet'!Q28</f>
        <v>11984.470206731683</v>
      </c>
      <c r="R15" s="165">
        <f>'Balance Sheet'!R28</f>
        <v>11984.470206731683</v>
      </c>
      <c r="S15" s="165">
        <f>'Balance Sheet'!S28</f>
        <v>11984.470206731683</v>
      </c>
    </row>
    <row r="16" spans="2:19" x14ac:dyDescent="0.2">
      <c r="B16" s="20" t="s">
        <v>116</v>
      </c>
      <c r="C16" s="207">
        <f>'Balance Sheet'!C32</f>
        <v>911.71</v>
      </c>
      <c r="D16" s="207">
        <f>'Balance Sheet'!D32</f>
        <v>1083.704</v>
      </c>
      <c r="E16" s="207">
        <f>'Balance Sheet'!E32</f>
        <v>5538.0860000000002</v>
      </c>
      <c r="F16" s="207">
        <f>'Balance Sheet'!F32</f>
        <v>5234.5879999999997</v>
      </c>
      <c r="G16" s="207">
        <f>'Balance Sheet'!G32</f>
        <v>5267.1130000000003</v>
      </c>
      <c r="H16" s="165"/>
      <c r="I16" s="165">
        <f>'Balance Sheet'!I32</f>
        <v>4087.6481711328315</v>
      </c>
      <c r="J16" s="165">
        <f>'Balance Sheet'!J32</f>
        <v>4405.3228738019452</v>
      </c>
      <c r="K16" s="165">
        <f>'Balance Sheet'!K32</f>
        <v>4854.2438430424763</v>
      </c>
      <c r="L16" s="165">
        <f>'Balance Sheet'!L32</f>
        <v>5811.0769373261555</v>
      </c>
      <c r="M16" s="165">
        <f>'Balance Sheet'!M32</f>
        <v>7372.7919209100519</v>
      </c>
      <c r="N16" s="165">
        <f>'Balance Sheet'!N32</f>
        <v>9105.3523475548318</v>
      </c>
      <c r="O16" s="165">
        <f>'Balance Sheet'!O32</f>
        <v>11025.028792996536</v>
      </c>
      <c r="P16" s="165">
        <f>'Balance Sheet'!P32</f>
        <v>13053.940438958492</v>
      </c>
      <c r="Q16" s="165">
        <f>'Balance Sheet'!Q32</f>
        <v>15197.322067404592</v>
      </c>
      <c r="R16" s="165">
        <f>'Balance Sheet'!R32</f>
        <v>17396.953638930652</v>
      </c>
      <c r="S16" s="165">
        <f>'Balance Sheet'!S32</f>
        <v>19654.140570060939</v>
      </c>
    </row>
    <row r="17" spans="2:19" x14ac:dyDescent="0.2"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</row>
    <row r="18" spans="2:19" x14ac:dyDescent="0.2">
      <c r="B18" s="20" t="s">
        <v>157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208"/>
      <c r="I18" s="208">
        <f t="shared" ref="I18:N19" si="1">I15/(I$15+I$16)</f>
        <v>0.73971025968055149</v>
      </c>
      <c r="J18" s="208">
        <f t="shared" si="1"/>
        <v>0.73121546732434317</v>
      </c>
      <c r="K18" s="208">
        <f t="shared" si="1"/>
        <v>0.71172122593841525</v>
      </c>
      <c r="L18" s="208">
        <f t="shared" si="1"/>
        <v>0.67345331445644541</v>
      </c>
      <c r="M18" s="208">
        <f t="shared" si="1"/>
        <v>0.61912010736364054</v>
      </c>
      <c r="N18" s="208">
        <f t="shared" si="1"/>
        <v>0.56825846570699734</v>
      </c>
      <c r="O18" s="208">
        <f t="shared" ref="O18:S18" si="2">O15/(O$15+O$16)</f>
        <v>0.52084881147882622</v>
      </c>
      <c r="P18" s="208">
        <f t="shared" si="2"/>
        <v>0.47864340817473383</v>
      </c>
      <c r="Q18" s="208">
        <f t="shared" si="2"/>
        <v>0.44090066195285499</v>
      </c>
      <c r="R18" s="208">
        <f t="shared" si="2"/>
        <v>0.40789276481918985</v>
      </c>
      <c r="S18" s="208">
        <f t="shared" si="2"/>
        <v>0.3787925548084578</v>
      </c>
    </row>
    <row r="19" spans="2:19" x14ac:dyDescent="0.2">
      <c r="B19" s="20" t="s">
        <v>158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208"/>
      <c r="I19" s="208">
        <f t="shared" si="1"/>
        <v>0.26028974031944857</v>
      </c>
      <c r="J19" s="208">
        <f t="shared" si="1"/>
        <v>0.26878453267565683</v>
      </c>
      <c r="K19" s="208">
        <f t="shared" si="1"/>
        <v>0.28827877406158464</v>
      </c>
      <c r="L19" s="208">
        <f t="shared" si="1"/>
        <v>0.32654668554355454</v>
      </c>
      <c r="M19" s="208">
        <f t="shared" si="1"/>
        <v>0.38087989263635952</v>
      </c>
      <c r="N19" s="208">
        <f t="shared" si="1"/>
        <v>0.43174153429300266</v>
      </c>
      <c r="O19" s="208">
        <f t="shared" ref="O19:S19" si="3">O16/(O$15+O$16)</f>
        <v>0.47915118852117383</v>
      </c>
      <c r="P19" s="208">
        <f t="shared" si="3"/>
        <v>0.52135659182526617</v>
      </c>
      <c r="Q19" s="208">
        <f t="shared" si="3"/>
        <v>0.55909933804714507</v>
      </c>
      <c r="R19" s="208">
        <f t="shared" si="3"/>
        <v>0.59210723518081021</v>
      </c>
      <c r="S19" s="208">
        <f t="shared" si="3"/>
        <v>0.62120744519154225</v>
      </c>
    </row>
    <row r="20" spans="2:19" x14ac:dyDescent="0.2">
      <c r="G20" s="59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</row>
    <row r="21" spans="2:19" x14ac:dyDescent="0.2">
      <c r="B21" s="20" t="s">
        <v>156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46"/>
      <c r="I21" s="146">
        <f t="shared" ref="I21:S21" si="4">$C$9</f>
        <v>6.9700000000000012E-2</v>
      </c>
      <c r="J21" s="146">
        <f t="shared" si="4"/>
        <v>6.9700000000000012E-2</v>
      </c>
      <c r="K21" s="146">
        <f t="shared" si="4"/>
        <v>6.9700000000000012E-2</v>
      </c>
      <c r="L21" s="146">
        <f t="shared" si="4"/>
        <v>6.9700000000000012E-2</v>
      </c>
      <c r="M21" s="146">
        <f t="shared" si="4"/>
        <v>6.9700000000000012E-2</v>
      </c>
      <c r="N21" s="146">
        <f t="shared" si="4"/>
        <v>6.9700000000000012E-2</v>
      </c>
      <c r="O21" s="146">
        <f t="shared" si="4"/>
        <v>6.9700000000000012E-2</v>
      </c>
      <c r="P21" s="146">
        <f t="shared" si="4"/>
        <v>6.9700000000000012E-2</v>
      </c>
      <c r="Q21" s="146">
        <f t="shared" si="4"/>
        <v>6.9700000000000012E-2</v>
      </c>
      <c r="R21" s="146">
        <f t="shared" si="4"/>
        <v>6.9700000000000012E-2</v>
      </c>
      <c r="S21" s="146">
        <f t="shared" si="4"/>
        <v>6.9700000000000012E-2</v>
      </c>
    </row>
    <row r="22" spans="2:19" x14ac:dyDescent="0.2">
      <c r="B22" s="20" t="s">
        <v>255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46"/>
      <c r="I22" s="146">
        <f>$C$10</f>
        <v>7.4999999999999997E-2</v>
      </c>
      <c r="J22" s="146">
        <f t="shared" ref="J22:S22" si="5">$C$10</f>
        <v>7.4999999999999997E-2</v>
      </c>
      <c r="K22" s="146">
        <f t="shared" si="5"/>
        <v>7.4999999999999997E-2</v>
      </c>
      <c r="L22" s="146">
        <f t="shared" si="5"/>
        <v>7.4999999999999997E-2</v>
      </c>
      <c r="M22" s="146">
        <f t="shared" si="5"/>
        <v>7.4999999999999997E-2</v>
      </c>
      <c r="N22" s="146">
        <f t="shared" si="5"/>
        <v>7.4999999999999997E-2</v>
      </c>
      <c r="O22" s="146">
        <f t="shared" si="5"/>
        <v>7.4999999999999997E-2</v>
      </c>
      <c r="P22" s="146">
        <f t="shared" si="5"/>
        <v>7.4999999999999997E-2</v>
      </c>
      <c r="Q22" s="146">
        <f t="shared" si="5"/>
        <v>7.4999999999999997E-2</v>
      </c>
      <c r="R22" s="146">
        <f t="shared" si="5"/>
        <v>7.4999999999999997E-2</v>
      </c>
      <c r="S22" s="146">
        <f t="shared" si="5"/>
        <v>7.4999999999999997E-2</v>
      </c>
    </row>
    <row r="23" spans="2:19" x14ac:dyDescent="0.2">
      <c r="G23" s="59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</row>
    <row r="24" spans="2:19" ht="12.6" thickBot="1" x14ac:dyDescent="0.3">
      <c r="B24" s="116" t="s">
        <v>98</v>
      </c>
      <c r="C24" s="209">
        <f>C18*C22*(1-$C$7)+C19*C21</f>
        <v>5.7192793918112134E-2</v>
      </c>
      <c r="D24" s="209">
        <f t="shared" ref="D24:G24" si="6">D18*D22*(1-$C$7)+D19*D21</f>
        <v>5.7493594168762541E-2</v>
      </c>
      <c r="E24" s="209">
        <f t="shared" si="6"/>
        <v>6.0192813558916862E-2</v>
      </c>
      <c r="F24" s="209">
        <f t="shared" si="6"/>
        <v>5.8328695777653379E-2</v>
      </c>
      <c r="G24" s="209">
        <f t="shared" si="6"/>
        <v>5.7865791147052703E-2</v>
      </c>
      <c r="H24" s="209"/>
      <c r="I24" s="209">
        <f>I18*I22*(1-$C$7)+I19*I21</f>
        <v>5.6976983533494521E-2</v>
      </c>
      <c r="J24" s="209">
        <f t="shared" ref="J24:N24" si="7">J18*J22*(1-$C$7)+J19*J21</f>
        <v>5.7123093962021296E-2</v>
      </c>
      <c r="K24" s="209">
        <f t="shared" si="7"/>
        <v>5.7458394913859255E-2</v>
      </c>
      <c r="L24" s="209">
        <f t="shared" si="7"/>
        <v>5.8116602991349131E-2</v>
      </c>
      <c r="M24" s="209">
        <f t="shared" si="7"/>
        <v>5.9051134153345383E-2</v>
      </c>
      <c r="N24" s="209">
        <f t="shared" si="7"/>
        <v>5.992595438983965E-2</v>
      </c>
      <c r="O24" s="209">
        <f t="shared" ref="O24:S24" si="8">O18*O22*(1-$C$7)+O19*O21</f>
        <v>6.0741400442564195E-2</v>
      </c>
      <c r="P24" s="209">
        <f t="shared" si="8"/>
        <v>6.1467333379394584E-2</v>
      </c>
      <c r="Q24" s="209">
        <f t="shared" si="8"/>
        <v>6.2116508614410898E-2</v>
      </c>
      <c r="R24" s="209">
        <f t="shared" si="8"/>
        <v>6.2684244445109949E-2</v>
      </c>
      <c r="S24" s="209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H6" sqref="H6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18" t="s">
        <v>257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x14ac:dyDescent="0.25">
      <c r="B5" s="25" t="s">
        <v>104</v>
      </c>
      <c r="C5" s="160">
        <f>'Revenue automotive'!C11+'Revenue Energy &amp; Other'!C7</f>
        <v>3198.3560000000002</v>
      </c>
      <c r="D5" s="160">
        <f>'Revenue automotive'!D11+'Revenue Energy &amp; Other'!D7</f>
        <v>4046.0250000000001</v>
      </c>
      <c r="E5" s="160">
        <f>'Revenue automotive'!E11+'Revenue Energy &amp; Other'!E7</f>
        <v>7000.1319999999996</v>
      </c>
      <c r="F5" s="160">
        <f>'Revenue automotive'!F11+'Revenue Energy &amp; Other'!F7</f>
        <v>11758.751</v>
      </c>
      <c r="G5" s="14">
        <f>'Revenue automotive'!G11+'Revenue Energy &amp; Other'!G7</f>
        <v>7410.982</v>
      </c>
      <c r="H5" s="161">
        <f>'Revenue automotive'!H11+'Revenue Energy &amp; Other'!H7</f>
        <v>10577.234</v>
      </c>
      <c r="I5" s="161">
        <f>G5+H5</f>
        <v>17988.216</v>
      </c>
      <c r="J5" s="161">
        <f>'Revenue automotive'!J11+'Revenue Energy &amp; Other'!J7</f>
        <v>23056.672880000002</v>
      </c>
      <c r="K5" s="161">
        <f>'Revenue automotive'!K11+'Revenue Energy &amp; Other'!K7</f>
        <v>41514.780577980957</v>
      </c>
      <c r="L5" s="161">
        <f>'Revenue automotive'!L11+'Revenue Energy &amp; Other'!L7</f>
        <v>55124.434679548234</v>
      </c>
      <c r="M5" s="161">
        <f>'Revenue automotive'!M11+'Revenue Energy &amp; Other'!M7</f>
        <v>71183.609225627253</v>
      </c>
      <c r="N5" s="161">
        <f>'Revenue automotive'!N11+'Revenue Energy &amp; Other'!N7</f>
        <v>76330.390080534518</v>
      </c>
      <c r="O5" s="161">
        <f>'Revenue automotive'!O11+'Revenue Energy &amp; Other'!O7</f>
        <v>81914.432877353174</v>
      </c>
      <c r="P5" s="161">
        <f>'Revenue automotive'!P11+'Revenue Energy &amp; Other'!P7</f>
        <v>85059.345517147638</v>
      </c>
      <c r="Q5" s="161">
        <f>'Revenue automotive'!Q11+'Revenue Energy &amp; Other'!Q7</f>
        <v>88344.249655849737</v>
      </c>
      <c r="R5" s="161">
        <f>'Revenue automotive'!R11+'Revenue Energy &amp; Other'!R7</f>
        <v>90309.118249813109</v>
      </c>
      <c r="S5" s="161">
        <f>'Revenue automotive'!S11+'Revenue Energy &amp; Other'!S7</f>
        <v>92325.163231706567</v>
      </c>
    </row>
    <row r="6" spans="2:19" x14ac:dyDescent="0.25">
      <c r="B6" s="25" t="s">
        <v>95</v>
      </c>
      <c r="C6" s="160">
        <f>'Cost of sales Energy &amp; Other'!C7+'Cost of sales automotive'!C11</f>
        <v>-2316.6849999999999</v>
      </c>
      <c r="D6" s="160">
        <f>'Cost of sales Energy &amp; Other'!D7+'Cost of sales automotive'!D11</f>
        <v>-3122.5219999999999</v>
      </c>
      <c r="E6" s="160">
        <f>'Cost of sales Energy &amp; Other'!E7+'Cost of sales automotive'!E11</f>
        <v>-5400.875</v>
      </c>
      <c r="F6" s="160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69">
        <f>'Cost of sales Energy &amp; Other'!H9+'Cost of sales automotive'!H11</f>
        <v>-8555.197457912911</v>
      </c>
      <c r="I6" s="161">
        <f>G6+H6</f>
        <v>-14890.723457912911</v>
      </c>
      <c r="J6" s="169">
        <f>'Cost of sales Energy &amp; Other'!J9+'Cost of sales automotive'!J11</f>
        <v>-19513.198063046879</v>
      </c>
      <c r="K6" s="169">
        <f>'Cost of sales Energy &amp; Other'!K9+'Cost of sales automotive'!K11</f>
        <v>-34946.429463471555</v>
      </c>
      <c r="L6" s="169">
        <f>'Cost of sales Energy &amp; Other'!L9+'Cost of sales automotive'!L11</f>
        <v>-46130.405455729357</v>
      </c>
      <c r="M6" s="169">
        <f>'Cost of sales Energy &amp; Other'!M9+'Cost of sales automotive'!M11</f>
        <v>-59319.384717061999</v>
      </c>
      <c r="N6" s="169">
        <f>'Cost of sales Energy &amp; Other'!N9+'Cost of sales automotive'!N11</f>
        <v>-63579.175616384266</v>
      </c>
      <c r="O6" s="169">
        <f>'Cost of sales Energy &amp; Other'!O9+'Cost of sales automotive'!O11</f>
        <v>-68198.362936095145</v>
      </c>
      <c r="P6" s="169">
        <f>'Cost of sales Energy &amp; Other'!P9+'Cost of sales automotive'!P11</f>
        <v>-70794.369418535076</v>
      </c>
      <c r="Q6" s="169">
        <f>'Cost of sales Energy &amp; Other'!Q9+'Cost of sales automotive'!Q11</f>
        <v>-73505.401696395842</v>
      </c>
      <c r="R6" s="169">
        <f>'Cost of sales Energy &amp; Other'!R9+'Cost of sales automotive'!R11</f>
        <v>-75144.465977623404</v>
      </c>
      <c r="S6" s="169">
        <f>'Cost of sales Energy &amp; Other'!S9+'Cost of sales automotive'!S11</f>
        <v>-76826.44891931348</v>
      </c>
    </row>
    <row r="7" spans="2:19" x14ac:dyDescent="0.25">
      <c r="B7" s="32" t="s">
        <v>1</v>
      </c>
      <c r="C7" s="162">
        <f>SUM(C5:C6)</f>
        <v>881.67100000000028</v>
      </c>
      <c r="D7" s="162">
        <f t="shared" ref="D7:I9" si="0">SUM(D5:D6)</f>
        <v>923.50300000000016</v>
      </c>
      <c r="E7" s="162">
        <f t="shared" si="0"/>
        <v>1599.2569999999996</v>
      </c>
      <c r="F7" s="162">
        <f t="shared" si="0"/>
        <v>2222.487000000001</v>
      </c>
      <c r="G7" s="173">
        <f t="shared" si="0"/>
        <v>1075.4560000000001</v>
      </c>
      <c r="H7" s="163">
        <f t="shared" si="0"/>
        <v>2022.0365420870894</v>
      </c>
      <c r="I7" s="163">
        <f t="shared" si="0"/>
        <v>3097.4925420870895</v>
      </c>
      <c r="J7" s="163">
        <f t="shared" ref="J7:S7" si="1">SUM(J5:J6)</f>
        <v>3543.4748169531231</v>
      </c>
      <c r="K7" s="163">
        <f t="shared" si="1"/>
        <v>6568.3511145094017</v>
      </c>
      <c r="L7" s="163">
        <f t="shared" si="1"/>
        <v>8994.0292238188777</v>
      </c>
      <c r="M7" s="163">
        <f t="shared" si="1"/>
        <v>11864.224508565254</v>
      </c>
      <c r="N7" s="163">
        <f t="shared" si="1"/>
        <v>12751.214464150253</v>
      </c>
      <c r="O7" s="163">
        <f t="shared" si="1"/>
        <v>13716.069941258029</v>
      </c>
      <c r="P7" s="163">
        <f t="shared" si="1"/>
        <v>14264.976098612562</v>
      </c>
      <c r="Q7" s="163">
        <f t="shared" si="1"/>
        <v>14838.847959453895</v>
      </c>
      <c r="R7" s="163">
        <f t="shared" si="1"/>
        <v>15164.652272189705</v>
      </c>
      <c r="S7" s="163">
        <f t="shared" si="1"/>
        <v>15498.714312393087</v>
      </c>
    </row>
    <row r="8" spans="2:19" x14ac:dyDescent="0.25">
      <c r="B8" s="25" t="s">
        <v>105</v>
      </c>
      <c r="C8" s="160">
        <f>Opex!C7</f>
        <v>-1068.3599999999999</v>
      </c>
      <c r="D8" s="160">
        <f>Opex!D7</f>
        <v>-1640.1320000000001</v>
      </c>
      <c r="E8" s="160">
        <f>Opex!E7</f>
        <v>-2266.5970000000002</v>
      </c>
      <c r="F8" s="160">
        <f>Opex!F7</f>
        <v>-3854.5729999999999</v>
      </c>
      <c r="G8" s="14">
        <f>Opex!G7</f>
        <v>-2293.8220000000001</v>
      </c>
      <c r="H8" s="161">
        <f>Opex!H7</f>
        <v>-2801.1251209542579</v>
      </c>
      <c r="I8" s="161">
        <f>G8+H8</f>
        <v>-5094.947120954258</v>
      </c>
      <c r="J8" s="161">
        <f>Opex!J7</f>
        <v>-2880.1910710156908</v>
      </c>
      <c r="K8" s="161">
        <f>Opex!K7</f>
        <v>-5185.9390536609098</v>
      </c>
      <c r="L8" s="161">
        <f>Opex!L7</f>
        <v>-6886.0284129087449</v>
      </c>
      <c r="M8" s="161">
        <f>Opex!M7</f>
        <v>-8892.1067129405255</v>
      </c>
      <c r="N8" s="161">
        <f>Opex!N7</f>
        <v>-9535.0317498671193</v>
      </c>
      <c r="O8" s="161">
        <f>Opex!O7</f>
        <v>-10232.578628693575</v>
      </c>
      <c r="P8" s="161">
        <f>Opex!P7</f>
        <v>-10625.434499590607</v>
      </c>
      <c r="Q8" s="161">
        <f>Opex!Q7</f>
        <v>-11035.77781402602</v>
      </c>
      <c r="R8" s="161">
        <f>Opex!R7</f>
        <v>-11281.225065219031</v>
      </c>
      <c r="S8" s="161">
        <f>Opex!S7</f>
        <v>-11533.065163130655</v>
      </c>
    </row>
    <row r="9" spans="2:19" x14ac:dyDescent="0.25">
      <c r="B9" s="32" t="s">
        <v>43</v>
      </c>
      <c r="C9" s="162">
        <f>SUM(C7:C8)</f>
        <v>-186.68899999999962</v>
      </c>
      <c r="D9" s="164">
        <f t="shared" ref="D9:F9" si="2">SUM(D7:D8)</f>
        <v>-716.62899999999991</v>
      </c>
      <c r="E9" s="164">
        <f t="shared" si="2"/>
        <v>-667.3400000000006</v>
      </c>
      <c r="F9" s="164">
        <f t="shared" si="2"/>
        <v>-1632.0859999999989</v>
      </c>
      <c r="G9" s="173">
        <f t="shared" si="0"/>
        <v>-1218.366</v>
      </c>
      <c r="H9" s="163">
        <f t="shared" si="0"/>
        <v>-779.08857886716851</v>
      </c>
      <c r="I9" s="163">
        <f t="shared" si="0"/>
        <v>-1997.4545788671685</v>
      </c>
      <c r="J9" s="163">
        <f t="shared" ref="J9:S9" si="3">SUM(J7:J8)</f>
        <v>663.28374593743229</v>
      </c>
      <c r="K9" s="163">
        <f t="shared" si="3"/>
        <v>1382.4120608484918</v>
      </c>
      <c r="L9" s="163">
        <f t="shared" si="3"/>
        <v>2108.0008109101327</v>
      </c>
      <c r="M9" s="163">
        <f t="shared" si="3"/>
        <v>2972.1177956247284</v>
      </c>
      <c r="N9" s="163">
        <f t="shared" si="3"/>
        <v>3216.1827142831335</v>
      </c>
      <c r="O9" s="163">
        <f t="shared" si="3"/>
        <v>3483.4913125644543</v>
      </c>
      <c r="P9" s="163">
        <f t="shared" si="3"/>
        <v>3639.5415990219553</v>
      </c>
      <c r="Q9" s="163">
        <f t="shared" si="3"/>
        <v>3803.0701454278751</v>
      </c>
      <c r="R9" s="163">
        <f t="shared" si="3"/>
        <v>3883.4272069706749</v>
      </c>
      <c r="S9" s="163">
        <f t="shared" si="3"/>
        <v>3965.6491492624318</v>
      </c>
    </row>
    <row r="10" spans="2:19" x14ac:dyDescent="0.25">
      <c r="B10" s="25" t="s">
        <v>106</v>
      </c>
      <c r="C10" s="160">
        <f>Financing!C12+('P&amp;L Input'!C16+'P&amp;L Input'!C18)/1000</f>
        <v>-97.947000000000003</v>
      </c>
      <c r="D10" s="160">
        <f>Financing!D12+('P&amp;L Input'!D16+'P&amp;L Input'!D18)/1000</f>
        <v>-158.995</v>
      </c>
      <c r="E10" s="160">
        <f>Financing!E12+('P&amp;L Input'!E16+'P&amp;L Input'!E18)/1000</f>
        <v>-79.007999999999996</v>
      </c>
      <c r="F10" s="160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61">
        <f>Financing!H12</f>
        <v>-400.37624999999997</v>
      </c>
      <c r="I10" s="161">
        <f>Financing!I12</f>
        <v>-713.50424999999996</v>
      </c>
      <c r="J10" s="161">
        <f>Financing!J12</f>
        <v>-713.50424999999996</v>
      </c>
      <c r="K10" s="161">
        <f>Financing!K12</f>
        <v>-741.09639050487613</v>
      </c>
      <c r="L10" s="161">
        <f>Financing!L12</f>
        <v>-741.09639050487613</v>
      </c>
      <c r="M10" s="161">
        <f>Financing!M12</f>
        <v>-741.09639050487613</v>
      </c>
      <c r="N10" s="161">
        <f>Financing!N12</f>
        <v>-741.09639050487613</v>
      </c>
      <c r="O10" s="161">
        <f>Financing!O12</f>
        <v>-741.09639050487613</v>
      </c>
      <c r="P10" s="161">
        <f>Financing!P12</f>
        <v>-741.09639050487613</v>
      </c>
      <c r="Q10" s="161">
        <f>Financing!Q12</f>
        <v>-741.09639050487613</v>
      </c>
      <c r="R10" s="161">
        <f>Financing!R12</f>
        <v>-741.09639050487613</v>
      </c>
      <c r="S10" s="161">
        <f>Financing!S12</f>
        <v>-741.09639050487613</v>
      </c>
    </row>
    <row r="11" spans="2:19" x14ac:dyDescent="0.25">
      <c r="B11" s="32" t="s">
        <v>44</v>
      </c>
      <c r="C11" s="164">
        <f t="shared" ref="C11:S11" si="4">SUM(C9:C10)</f>
        <v>-284.63599999999963</v>
      </c>
      <c r="D11" s="164">
        <f t="shared" si="4"/>
        <v>-875.62399999999991</v>
      </c>
      <c r="E11" s="164">
        <f t="shared" si="4"/>
        <v>-746.34800000000064</v>
      </c>
      <c r="F11" s="164">
        <f t="shared" si="4"/>
        <v>-2209.0319999999988</v>
      </c>
      <c r="G11" s="164">
        <f t="shared" si="4"/>
        <v>-1508.021</v>
      </c>
      <c r="H11" s="163">
        <f t="shared" si="4"/>
        <v>-1179.4648288671685</v>
      </c>
      <c r="I11" s="163">
        <f t="shared" si="4"/>
        <v>-2710.9588288671684</v>
      </c>
      <c r="J11" s="163">
        <f t="shared" si="4"/>
        <v>-50.22050406256767</v>
      </c>
      <c r="K11" s="163">
        <f t="shared" si="4"/>
        <v>641.31567034361569</v>
      </c>
      <c r="L11" s="163">
        <f t="shared" si="4"/>
        <v>1366.9044204052566</v>
      </c>
      <c r="M11" s="163">
        <f t="shared" si="4"/>
        <v>2231.0214051198523</v>
      </c>
      <c r="N11" s="163">
        <f t="shared" si="4"/>
        <v>2475.0863237782573</v>
      </c>
      <c r="O11" s="163">
        <f t="shared" si="4"/>
        <v>2742.3949220595782</v>
      </c>
      <c r="P11" s="163">
        <f t="shared" si="4"/>
        <v>2898.4452085170792</v>
      </c>
      <c r="Q11" s="163">
        <f t="shared" si="4"/>
        <v>3061.973754922999</v>
      </c>
      <c r="R11" s="163">
        <f t="shared" si="4"/>
        <v>3142.3308164657988</v>
      </c>
      <c r="S11" s="163">
        <f t="shared" si="4"/>
        <v>3224.5527587575557</v>
      </c>
    </row>
    <row r="12" spans="2:19" x14ac:dyDescent="0.25">
      <c r="B12" s="25" t="s">
        <v>102</v>
      </c>
      <c r="C12" s="160">
        <f>'P&amp;L Input'!C20/1000</f>
        <v>-9.4039999999999999</v>
      </c>
      <c r="D12" s="160">
        <f>'P&amp;L Input'!D20/1000</f>
        <v>-13.039</v>
      </c>
      <c r="E12" s="160">
        <f>'P&amp;L Input'!E20/1000</f>
        <v>-26.698</v>
      </c>
      <c r="F12" s="160">
        <f>'P&amp;L Input'!F20/1000</f>
        <v>-31.545999999999999</v>
      </c>
      <c r="G12" s="160">
        <f>'P&amp;L Input'!G20/1000</f>
        <v>-19.312000000000001</v>
      </c>
      <c r="H12" s="165">
        <f>IF(H11&gt;0,-H11*Drivers!$C$12,0)</f>
        <v>0</v>
      </c>
      <c r="I12" s="165">
        <f>IF(I11&gt;0,-I11*Drivers!$C$12,0)</f>
        <v>0</v>
      </c>
      <c r="J12" s="165">
        <f>IF(J11&gt;0,-J11*Drivers!$C$12,0)</f>
        <v>0</v>
      </c>
      <c r="K12" s="165">
        <f>IF(K11&gt;0,-K11*Drivers!$C$12,0)</f>
        <v>-192.39470110308471</v>
      </c>
      <c r="L12" s="165">
        <f>IF(L11&gt;0,-L11*Drivers!$C$12,0)</f>
        <v>-410.07132612157699</v>
      </c>
      <c r="M12" s="165">
        <f>IF(M11&gt;0,-M11*Drivers!$C$12,0)</f>
        <v>-669.30642153595568</v>
      </c>
      <c r="N12" s="165">
        <f>IF(N11&gt;0,-N11*Drivers!$C$12,0)</f>
        <v>-742.5258971334772</v>
      </c>
      <c r="O12" s="165">
        <f>IF(O11&gt;0,-O11*Drivers!$C$12,0)</f>
        <v>-822.71847661787342</v>
      </c>
      <c r="P12" s="165">
        <f>IF(P11&gt;0,-P11*Drivers!$C$12,0)</f>
        <v>-869.53356255512369</v>
      </c>
      <c r="Q12" s="165">
        <f>IF(Q11&gt;0,-Q11*Drivers!$C$12,0)</f>
        <v>-918.59212647689969</v>
      </c>
      <c r="R12" s="165">
        <f>IF(R11&gt;0,-R11*Drivers!$C$12,0)</f>
        <v>-942.69924493973963</v>
      </c>
      <c r="S12" s="165">
        <f>IF(S11&gt;0,-S11*Drivers!$C$12,0)</f>
        <v>-967.36582762726664</v>
      </c>
    </row>
    <row r="13" spans="2:19" x14ac:dyDescent="0.25">
      <c r="B13" s="25" t="s">
        <v>262</v>
      </c>
      <c r="C13" s="160">
        <f>'P&amp;L Input'!C22/1000</f>
        <v>0</v>
      </c>
      <c r="D13" s="160">
        <f>'P&amp;L Input'!D22/1000</f>
        <v>0</v>
      </c>
      <c r="E13" s="160">
        <f>'P&amp;L Input'!E22/1000</f>
        <v>98.132000000000005</v>
      </c>
      <c r="F13" s="160">
        <f>'P&amp;L Input'!F22/1000</f>
        <v>279.178</v>
      </c>
      <c r="G13" s="160">
        <f>'P&amp;L Input'!G22/1000</f>
        <v>100.24299999999999</v>
      </c>
      <c r="H13" s="165">
        <v>0</v>
      </c>
      <c r="I13" s="165">
        <v>0</v>
      </c>
      <c r="J13" s="165">
        <v>0</v>
      </c>
      <c r="K13" s="165">
        <v>0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5">
        <v>0</v>
      </c>
      <c r="R13" s="165">
        <v>0</v>
      </c>
      <c r="S13" s="165">
        <v>0</v>
      </c>
    </row>
    <row r="14" spans="2:19" ht="13.8" thickBot="1" x14ac:dyDescent="0.3">
      <c r="B14" s="116" t="s">
        <v>103</v>
      </c>
      <c r="C14" s="127">
        <f>SUM(C11:C12)</f>
        <v>-294.03999999999962</v>
      </c>
      <c r="D14" s="127">
        <f t="shared" ref="D14" si="5">SUM(D11:D12)</f>
        <v>-888.6629999999999</v>
      </c>
      <c r="E14" s="127">
        <f>SUM(E11:E13)</f>
        <v>-674.91400000000067</v>
      </c>
      <c r="F14" s="127">
        <f>SUM(F11:F13)</f>
        <v>-1961.3999999999987</v>
      </c>
      <c r="G14" s="127">
        <f>SUM(G11:G13)</f>
        <v>-1427.09</v>
      </c>
      <c r="H14" s="127">
        <f t="shared" ref="H14:N14" si="6">SUM(H11:H13)</f>
        <v>-1179.4648288671685</v>
      </c>
      <c r="I14" s="127">
        <f t="shared" si="6"/>
        <v>-2710.9588288671684</v>
      </c>
      <c r="J14" s="127">
        <f t="shared" si="6"/>
        <v>-50.22050406256767</v>
      </c>
      <c r="K14" s="127">
        <f t="shared" si="6"/>
        <v>448.92096924053101</v>
      </c>
      <c r="L14" s="127">
        <f t="shared" si="6"/>
        <v>956.83309428367966</v>
      </c>
      <c r="M14" s="127">
        <f t="shared" si="6"/>
        <v>1561.7149835838966</v>
      </c>
      <c r="N14" s="127">
        <f t="shared" si="6"/>
        <v>1732.5604266447801</v>
      </c>
      <c r="O14" s="127">
        <f t="shared" ref="O14:S14" si="7">SUM(O11:O13)</f>
        <v>1919.6764454417048</v>
      </c>
      <c r="P14" s="127">
        <f t="shared" si="7"/>
        <v>2028.9116459619554</v>
      </c>
      <c r="Q14" s="127">
        <f t="shared" si="7"/>
        <v>2143.3816284460991</v>
      </c>
      <c r="R14" s="127">
        <f t="shared" si="7"/>
        <v>2199.6315715260589</v>
      </c>
      <c r="S14" s="127">
        <f t="shared" si="7"/>
        <v>2257.1869311302889</v>
      </c>
    </row>
    <row r="15" spans="2:19" x14ac:dyDescent="0.25">
      <c r="C15" s="33"/>
    </row>
    <row r="16" spans="2:19" x14ac:dyDescent="0.25">
      <c r="B16" s="168" t="s">
        <v>117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</row>
    <row r="17" spans="2:19" x14ac:dyDescent="0.25">
      <c r="B17" s="167" t="s">
        <v>261</v>
      </c>
      <c r="C17" s="176">
        <f>'P&amp;L Input'!C23/1000</f>
        <v>-294.04000000000002</v>
      </c>
      <c r="D17" s="176">
        <f>'P&amp;L Input'!D23/1000</f>
        <v>-888.66300000000001</v>
      </c>
      <c r="E17" s="176">
        <f>'P&amp;L Input'!E23/1000</f>
        <v>-674.91399999999999</v>
      </c>
      <c r="F17" s="176">
        <f>'P&amp;L Input'!F23/1000</f>
        <v>-1961.4</v>
      </c>
      <c r="G17" s="176">
        <f>'P&amp;L Input'!G23/1000</f>
        <v>-1427.09</v>
      </c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</row>
    <row r="18" spans="2:19" x14ac:dyDescent="0.25">
      <c r="B18" s="167" t="s">
        <v>76</v>
      </c>
      <c r="C18" s="177">
        <f>C14-C17</f>
        <v>0</v>
      </c>
      <c r="D18" s="177">
        <f>D14-D17</f>
        <v>0</v>
      </c>
      <c r="E18" s="177">
        <f>E14-E17</f>
        <v>0</v>
      </c>
      <c r="F18" s="177">
        <f>F14-F17</f>
        <v>0</v>
      </c>
      <c r="G18" s="177">
        <f>G14-G17</f>
        <v>0</v>
      </c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L3" workbookViewId="0">
      <selection activeCell="I22" sqref="I22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258</v>
      </c>
    </row>
    <row r="2" spans="2:21" ht="15.6" x14ac:dyDescent="0.3">
      <c r="B2" s="18"/>
    </row>
    <row r="3" spans="2:21" x14ac:dyDescent="0.25">
      <c r="C3" s="218" t="s">
        <v>263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21" s="8" customFormat="1" ht="24" x14ac:dyDescent="0.25">
      <c r="B4" s="5" t="s">
        <v>259</v>
      </c>
      <c r="C4" s="6" t="s">
        <v>238</v>
      </c>
      <c r="D4" s="6" t="s">
        <v>239</v>
      </c>
      <c r="E4" s="6" t="s">
        <v>240</v>
      </c>
      <c r="F4" s="6" t="s">
        <v>243</v>
      </c>
      <c r="G4" s="6" t="s">
        <v>241</v>
      </c>
      <c r="H4" s="98"/>
      <c r="I4" s="98" t="s">
        <v>282</v>
      </c>
      <c r="J4" s="98" t="s">
        <v>283</v>
      </c>
      <c r="K4" s="98" t="s">
        <v>284</v>
      </c>
      <c r="L4" s="98" t="s">
        <v>285</v>
      </c>
      <c r="M4" s="98" t="s">
        <v>286</v>
      </c>
      <c r="N4" s="98" t="s">
        <v>287</v>
      </c>
      <c r="O4" s="98" t="s">
        <v>288</v>
      </c>
      <c r="P4" s="98" t="s">
        <v>289</v>
      </c>
      <c r="Q4" s="98" t="s">
        <v>290</v>
      </c>
      <c r="R4" s="98" t="s">
        <v>291</v>
      </c>
      <c r="S4" s="98" t="s">
        <v>292</v>
      </c>
      <c r="U4" s="36" t="s">
        <v>120</v>
      </c>
    </row>
    <row r="5" spans="2:21" s="8" customFormat="1" ht="11.4" x14ac:dyDescent="0.2">
      <c r="B5" s="8" t="s">
        <v>108</v>
      </c>
      <c r="C5" s="160">
        <f>('Balance Sheet Input'!C4)/1000</f>
        <v>1905.713</v>
      </c>
      <c r="D5" s="160">
        <f>('Balance Sheet Input'!D4)/1000</f>
        <v>1196.9079999999999</v>
      </c>
      <c r="E5" s="160">
        <f>('Balance Sheet Input'!E4)/1000</f>
        <v>3393.2159999999999</v>
      </c>
      <c r="F5" s="160">
        <f>('Balance Sheet Input'!F4)/1000</f>
        <v>3367.9140000000002</v>
      </c>
      <c r="G5" s="200">
        <f>('Balance Sheet Input'!G4)/1000</f>
        <v>2236.424</v>
      </c>
      <c r="H5" s="161"/>
      <c r="I5" s="161">
        <f>G5+'Cash Flow'!H28</f>
        <v>3677.7759600679965</v>
      </c>
      <c r="J5" s="161">
        <f>I5+'Cash Flow'!J28</f>
        <v>3163.2568338492274</v>
      </c>
      <c r="K5" s="161">
        <f>J5+'Cash Flow'!K28</f>
        <v>11667.264336716644</v>
      </c>
      <c r="L5" s="161">
        <f>K5+'Cash Flow'!L28</f>
        <v>18947.851083949616</v>
      </c>
      <c r="M5" s="161">
        <f>L5+'Cash Flow'!M28</f>
        <v>28262.939231095705</v>
      </c>
      <c r="N5" s="161">
        <f>M5+'Cash Flow'!N28</f>
        <v>30450.419391932046</v>
      </c>
      <c r="O5" s="161">
        <f>N5+'Cash Flow'!O28</f>
        <v>32947.188877999128</v>
      </c>
      <c r="P5" s="161">
        <f>O5+'Cash Flow'!P28</f>
        <v>33805.603247050683</v>
      </c>
      <c r="Q5" s="161">
        <f>P5+'Cash Flow'!Q28</f>
        <v>34726.660457222271</v>
      </c>
      <c r="R5" s="161">
        <f>Q5+'Cash Flow'!R28</f>
        <v>34714.061716686119</v>
      </c>
      <c r="S5" s="161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60">
        <f>+'Balance Sheet Input'!C5/1000</f>
        <v>17.946999999999999</v>
      </c>
      <c r="D6" s="160">
        <f>+'Balance Sheet Input'!D5/1000</f>
        <v>22.628</v>
      </c>
      <c r="E6" s="160">
        <f>+'Balance Sheet Input'!E5/1000</f>
        <v>105.51900000000001</v>
      </c>
      <c r="F6" s="160">
        <f>+'Balance Sheet Input'!F5/1000</f>
        <v>155.32300000000001</v>
      </c>
      <c r="G6" s="200">
        <f>+'Balance Sheet Input'!G5/1000</f>
        <v>146.822</v>
      </c>
      <c r="H6" s="161"/>
      <c r="I6" s="161">
        <f>$G$6</f>
        <v>146.822</v>
      </c>
      <c r="J6" s="161">
        <f t="shared" ref="J6:S6" si="0">$G$6</f>
        <v>146.822</v>
      </c>
      <c r="K6" s="161">
        <f t="shared" si="0"/>
        <v>146.822</v>
      </c>
      <c r="L6" s="161">
        <f t="shared" si="0"/>
        <v>146.822</v>
      </c>
      <c r="M6" s="161">
        <f t="shared" si="0"/>
        <v>146.822</v>
      </c>
      <c r="N6" s="161">
        <f t="shared" si="0"/>
        <v>146.822</v>
      </c>
      <c r="O6" s="161">
        <f t="shared" si="0"/>
        <v>146.822</v>
      </c>
      <c r="P6" s="161">
        <f t="shared" si="0"/>
        <v>146.822</v>
      </c>
      <c r="Q6" s="161">
        <f t="shared" si="0"/>
        <v>146.822</v>
      </c>
      <c r="R6" s="161">
        <f t="shared" si="0"/>
        <v>146.822</v>
      </c>
      <c r="S6" s="161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60">
        <f>('Balance Sheet Input'!C6)/1000</f>
        <v>226.60400000000001</v>
      </c>
      <c r="D7" s="160">
        <f>('Balance Sheet Input'!D6)/1000</f>
        <v>168.965</v>
      </c>
      <c r="E7" s="160">
        <f>('Balance Sheet Input'!E6)/1000</f>
        <v>499.142</v>
      </c>
      <c r="F7" s="160">
        <f>('Balance Sheet Input'!F6)/1000</f>
        <v>515.38099999999997</v>
      </c>
      <c r="G7" s="201">
        <f>('Balance Sheet Input'!G6)/1000</f>
        <v>569.87400000000002</v>
      </c>
      <c r="H7" s="202"/>
      <c r="I7" s="202">
        <f>'Working capital'!I5</f>
        <v>957.66763893271502</v>
      </c>
      <c r="J7" s="202">
        <f>'Working capital'!J5</f>
        <v>1227.5052444685768</v>
      </c>
      <c r="K7" s="202">
        <f>'Working capital'!K5</f>
        <v>2210.1892648456496</v>
      </c>
      <c r="L7" s="202">
        <f>'Working capital'!L5</f>
        <v>2934.7483489782221</v>
      </c>
      <c r="M7" s="202">
        <f>'Working capital'!M5</f>
        <v>3789.7164998360863</v>
      </c>
      <c r="N7" s="202">
        <f>'Working capital'!N5</f>
        <v>4063.723965024582</v>
      </c>
      <c r="O7" s="202">
        <f>'Working capital'!O5</f>
        <v>4361.0106487584526</v>
      </c>
      <c r="P7" s="202">
        <f>'Working capital'!P5</f>
        <v>4528.441430243488</v>
      </c>
      <c r="Q7" s="202">
        <f>'Working capital'!Q5</f>
        <v>4703.3251647189436</v>
      </c>
      <c r="R7" s="202">
        <f>'Working capital'!R5</f>
        <v>4807.9320399751641</v>
      </c>
      <c r="S7" s="202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60">
        <f>('Balance Sheet Input'!C7)/1000</f>
        <v>953.67499999999995</v>
      </c>
      <c r="D8" s="160">
        <f>('Balance Sheet Input'!D7)/1000</f>
        <v>1277.838</v>
      </c>
      <c r="E8" s="160">
        <f>('Balance Sheet Input'!E7)/1000</f>
        <v>2067.4540000000002</v>
      </c>
      <c r="F8" s="160">
        <f>('Balance Sheet Input'!F7)/1000</f>
        <v>2263.5369999999998</v>
      </c>
      <c r="G8" s="201">
        <f>('Balance Sheet Input'!G7)/1000</f>
        <v>3324.643</v>
      </c>
      <c r="H8" s="202"/>
      <c r="I8" s="202">
        <f>'Working capital'!I6</f>
        <v>5073.0594185107193</v>
      </c>
      <c r="J8" s="202">
        <f>'Working capital'!J6</f>
        <v>6647.8713071795773</v>
      </c>
      <c r="K8" s="202">
        <f>'Working capital'!K6</f>
        <v>11905.755528538521</v>
      </c>
      <c r="L8" s="202">
        <f>'Working capital'!L6</f>
        <v>15715.978376627965</v>
      </c>
      <c r="M8" s="202">
        <f>'Working capital'!M6</f>
        <v>20209.277553887954</v>
      </c>
      <c r="N8" s="202">
        <f>'Working capital'!N6</f>
        <v>21660.528220369808</v>
      </c>
      <c r="O8" s="202">
        <f>'Working capital'!O6</f>
        <v>23234.220177268791</v>
      </c>
      <c r="P8" s="202">
        <f>'Working capital'!P6</f>
        <v>24118.642963943967</v>
      </c>
      <c r="Q8" s="202">
        <f>'Working capital'!Q6</f>
        <v>25042.253416448857</v>
      </c>
      <c r="R8" s="202">
        <f>'Working capital'!R6</f>
        <v>25600.659494765179</v>
      </c>
      <c r="S8" s="202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60">
        <f>('Balance Sheet Input'!C8)/1000</f>
        <v>76.134</v>
      </c>
      <c r="D9" s="160">
        <f>('Balance Sheet Input'!D8)/1000</f>
        <v>115.667</v>
      </c>
      <c r="E9" s="160">
        <f>('Balance Sheet Input'!E8)/1000</f>
        <v>194.465</v>
      </c>
      <c r="F9" s="160">
        <f>('Balance Sheet Input'!F8)/1000</f>
        <v>268.36500000000001</v>
      </c>
      <c r="G9" s="200">
        <f>('Balance Sheet Input'!G8)/1000</f>
        <v>422.03399999999999</v>
      </c>
      <c r="H9" s="161"/>
      <c r="I9" s="161">
        <f>I10*('P&amp;L'!I$5)</f>
        <v>575.41350148758636</v>
      </c>
      <c r="J9" s="161">
        <f>J10*('P&amp;L'!J$5)</f>
        <v>737.5451170107516</v>
      </c>
      <c r="K9" s="161">
        <f>K10*('P&amp;L'!K$5)</f>
        <v>1327.9896825713492</v>
      </c>
      <c r="L9" s="161">
        <f>L10*('P&amp;L'!L$5)</f>
        <v>1763.3401765068079</v>
      </c>
      <c r="M9" s="161">
        <f>M10*('P&amp;L'!M$5)</f>
        <v>2277.0468084796312</v>
      </c>
      <c r="N9" s="161">
        <f>N10*('P&amp;L'!N$5)</f>
        <v>2441.6838793882448</v>
      </c>
      <c r="O9" s="161">
        <f>O10*('P&amp;L'!O$5)</f>
        <v>2620.3082420362116</v>
      </c>
      <c r="P9" s="161">
        <f>P10*('P&amp;L'!P$5)</f>
        <v>2720.9088348874816</v>
      </c>
      <c r="Q9" s="161">
        <f>Q10*('P&amp;L'!Q$5)</f>
        <v>2825.9875259873461</v>
      </c>
      <c r="R9" s="161">
        <f>R10*('P&amp;L'!R$5)</f>
        <v>2888.840446900429</v>
      </c>
      <c r="S9" s="161">
        <f>S10*('P&amp;L'!S$5)</f>
        <v>2953.3304164553751</v>
      </c>
      <c r="U9" s="8" t="s">
        <v>124</v>
      </c>
    </row>
    <row r="10" spans="2:21" s="8" customFormat="1" ht="11.4" x14ac:dyDescent="0.25">
      <c r="B10" s="193" t="s">
        <v>118</v>
      </c>
      <c r="C10" s="194">
        <f>C9/('P&amp;L'!C$5)</f>
        <v>2.3804104358614235E-2</v>
      </c>
      <c r="D10" s="194">
        <f>D9/('P&amp;L'!D$5)</f>
        <v>2.8587811493997195E-2</v>
      </c>
      <c r="E10" s="194">
        <f>E9/('P&amp;L'!E$5)</f>
        <v>2.7780190430694737E-2</v>
      </c>
      <c r="F10" s="194">
        <f>F9/('P&amp;L'!F$5)</f>
        <v>2.2822576989681983E-2</v>
      </c>
      <c r="G10" s="195">
        <f>G9/('P&amp;L'!G$5)</f>
        <v>5.6947109033593658E-2</v>
      </c>
      <c r="H10" s="196"/>
      <c r="I10" s="196">
        <f>AVERAGE($C$10:$G$10)</f>
        <v>3.1988358461316362E-2</v>
      </c>
      <c r="J10" s="196">
        <f t="shared" ref="J10:S10" si="1">AVERAGE($C$10:$G$10)</f>
        <v>3.1988358461316362E-2</v>
      </c>
      <c r="K10" s="196">
        <f t="shared" si="1"/>
        <v>3.1988358461316362E-2</v>
      </c>
      <c r="L10" s="196">
        <f t="shared" si="1"/>
        <v>3.1988358461316362E-2</v>
      </c>
      <c r="M10" s="196">
        <f t="shared" si="1"/>
        <v>3.1988358461316362E-2</v>
      </c>
      <c r="N10" s="196">
        <f t="shared" si="1"/>
        <v>3.1988358461316362E-2</v>
      </c>
      <c r="O10" s="196">
        <f t="shared" si="1"/>
        <v>3.1988358461316362E-2</v>
      </c>
      <c r="P10" s="196">
        <f t="shared" si="1"/>
        <v>3.1988358461316362E-2</v>
      </c>
      <c r="Q10" s="196">
        <f t="shared" si="1"/>
        <v>3.1988358461316362E-2</v>
      </c>
      <c r="R10" s="196">
        <f t="shared" si="1"/>
        <v>3.1988358461316362E-2</v>
      </c>
      <c r="S10" s="196">
        <f t="shared" si="1"/>
        <v>3.1988358461316362E-2</v>
      </c>
    </row>
    <row r="11" spans="2:21" s="8" customFormat="1" ht="11.4" x14ac:dyDescent="0.2">
      <c r="B11" s="8" t="s">
        <v>110</v>
      </c>
      <c r="C11" s="160">
        <f>('Balance Sheet Input'!C10)/1000</f>
        <v>766.74400000000003</v>
      </c>
      <c r="D11" s="160">
        <f>('Balance Sheet Input'!D10)/1000</f>
        <v>1791.403</v>
      </c>
      <c r="E11" s="160">
        <f>('Balance Sheet Input'!E10)/1000</f>
        <v>3134.08</v>
      </c>
      <c r="F11" s="160">
        <f>('Balance Sheet Input'!F10)/1000</f>
        <v>4116.6040000000003</v>
      </c>
      <c r="G11" s="200">
        <f>('Balance Sheet Input'!G10)/1000</f>
        <v>2282.047</v>
      </c>
      <c r="H11" s="161"/>
      <c r="I11" s="161">
        <f t="shared" ref="I11:S11" si="2">$G$11</f>
        <v>2282.047</v>
      </c>
      <c r="J11" s="161">
        <f t="shared" si="2"/>
        <v>2282.047</v>
      </c>
      <c r="K11" s="161">
        <f t="shared" si="2"/>
        <v>2282.047</v>
      </c>
      <c r="L11" s="161">
        <f t="shared" si="2"/>
        <v>2282.047</v>
      </c>
      <c r="M11" s="161">
        <f t="shared" si="2"/>
        <v>2282.047</v>
      </c>
      <c r="N11" s="161">
        <f t="shared" si="2"/>
        <v>2282.047</v>
      </c>
      <c r="O11" s="161">
        <f t="shared" si="2"/>
        <v>2282.047</v>
      </c>
      <c r="P11" s="161">
        <f t="shared" si="2"/>
        <v>2282.047</v>
      </c>
      <c r="Q11" s="161">
        <f t="shared" si="2"/>
        <v>2282.047</v>
      </c>
      <c r="R11" s="161">
        <f t="shared" si="2"/>
        <v>2282.047</v>
      </c>
      <c r="S11" s="161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60">
        <f>('Balance Sheet Input'!C11)/1000</f>
        <v>0</v>
      </c>
      <c r="D12" s="160">
        <f>('Balance Sheet Input'!D11)/1000</f>
        <v>0</v>
      </c>
      <c r="E12" s="160">
        <f>('Balance Sheet Input'!E11)/1000</f>
        <v>5919.88</v>
      </c>
      <c r="F12" s="160">
        <f>('Balance Sheet Input'!F11)/1000</f>
        <v>6347.49</v>
      </c>
      <c r="G12" s="200">
        <f>('Balance Sheet Input'!G11)/1000</f>
        <v>6340.0309999999999</v>
      </c>
      <c r="H12" s="161"/>
      <c r="I12" s="161">
        <f>$G$12</f>
        <v>6340.0309999999999</v>
      </c>
      <c r="J12" s="161">
        <f t="shared" ref="J12:S12" si="3">$G$12</f>
        <v>6340.0309999999999</v>
      </c>
      <c r="K12" s="161">
        <f t="shared" si="3"/>
        <v>6340.0309999999999</v>
      </c>
      <c r="L12" s="161">
        <f t="shared" si="3"/>
        <v>6340.0309999999999</v>
      </c>
      <c r="M12" s="161">
        <f t="shared" si="3"/>
        <v>6340.0309999999999</v>
      </c>
      <c r="N12" s="161">
        <f t="shared" si="3"/>
        <v>6340.0309999999999</v>
      </c>
      <c r="O12" s="161">
        <f t="shared" si="3"/>
        <v>6340.0309999999999</v>
      </c>
      <c r="P12" s="161">
        <f t="shared" si="3"/>
        <v>6340.0309999999999</v>
      </c>
      <c r="Q12" s="161">
        <f t="shared" si="3"/>
        <v>6340.0309999999999</v>
      </c>
      <c r="R12" s="161">
        <f t="shared" si="3"/>
        <v>6340.0309999999999</v>
      </c>
      <c r="S12" s="161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60">
        <f>('Balance Sheet Input'!C12)/1000</f>
        <v>1829.2670000000001</v>
      </c>
      <c r="D13" s="160">
        <f>('Balance Sheet Input'!D12)/1000</f>
        <v>3403.3339999999998</v>
      </c>
      <c r="E13" s="160">
        <f>('Balance Sheet Input'!E12)/1000</f>
        <v>5982.9570000000003</v>
      </c>
      <c r="F13" s="160">
        <f>('Balance Sheet Input'!F12)/1000</f>
        <v>10027.522000000001</v>
      </c>
      <c r="G13" s="200">
        <f>('Balance Sheet Input'!G12)/1000</f>
        <v>10969.348</v>
      </c>
      <c r="H13" s="161"/>
      <c r="I13" s="161">
        <f>'PP&amp;E'!I10</f>
        <v>14637.79562666667</v>
      </c>
      <c r="J13" s="161">
        <f>'PP&amp;E'!J10</f>
        <v>19126.71961884445</v>
      </c>
      <c r="K13" s="161">
        <f>'PP&amp;E'!K10</f>
        <v>23116.006853632007</v>
      </c>
      <c r="L13" s="161">
        <f>'PP&amp;E'!L10</f>
        <v>25682.266148777537</v>
      </c>
      <c r="M13" s="161">
        <f>'PP&amp;E'!M10</f>
        <v>28419.347087635142</v>
      </c>
      <c r="N13" s="161">
        <f>'PP&amp;E'!N10</f>
        <v>31324.919586429129</v>
      </c>
      <c r="O13" s="161">
        <f>'PP&amp;E'!O10</f>
        <v>34393.940990496194</v>
      </c>
      <c r="P13" s="161">
        <f>'PP&amp;E'!P10</f>
        <v>37618.180795503387</v>
      </c>
      <c r="Q13" s="161">
        <f>'PP&amp;E'!Q10</f>
        <v>40985.69281757198</v>
      </c>
      <c r="R13" s="161">
        <f>'PP&amp;E'!R10</f>
        <v>44480.231339819991</v>
      </c>
      <c r="S13" s="161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60">
        <f>('Balance Sheet Input'!C13)/1000</f>
        <v>0</v>
      </c>
      <c r="D14" s="160">
        <f>('Balance Sheet Input'!D13)/1000</f>
        <v>12.816000000000001</v>
      </c>
      <c r="E14" s="160">
        <f>('Balance Sheet Input'!E13)/1000</f>
        <v>376.14499999999998</v>
      </c>
      <c r="F14" s="160">
        <f>('Balance Sheet Input'!F13)/1000</f>
        <v>361.50200000000001</v>
      </c>
      <c r="G14" s="200">
        <f>('Balance Sheet Input'!G13)/1000</f>
        <v>364.69</v>
      </c>
      <c r="H14" s="161"/>
      <c r="I14" s="161">
        <f>$G$14</f>
        <v>364.69</v>
      </c>
      <c r="J14" s="161">
        <f t="shared" ref="J14:S14" si="4">$G$14</f>
        <v>364.69</v>
      </c>
      <c r="K14" s="161">
        <f t="shared" si="4"/>
        <v>364.69</v>
      </c>
      <c r="L14" s="161">
        <f t="shared" si="4"/>
        <v>364.69</v>
      </c>
      <c r="M14" s="161">
        <f t="shared" si="4"/>
        <v>364.69</v>
      </c>
      <c r="N14" s="161">
        <f t="shared" si="4"/>
        <v>364.69</v>
      </c>
      <c r="O14" s="161">
        <f t="shared" si="4"/>
        <v>364.69</v>
      </c>
      <c r="P14" s="161">
        <f t="shared" si="4"/>
        <v>364.69</v>
      </c>
      <c r="Q14" s="161">
        <f t="shared" si="4"/>
        <v>364.69</v>
      </c>
      <c r="R14" s="161">
        <f t="shared" si="4"/>
        <v>364.69</v>
      </c>
      <c r="S14" s="161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60">
        <f>('Balance Sheet Input'!C16+'Balance Sheet Input'!C15+'Balance Sheet Input'!C14)/1000</f>
        <v>54.582999999999998</v>
      </c>
      <c r="D15" s="160">
        <f>('Balance Sheet Input'!D16+'Balance Sheet Input'!D15+'Balance Sheet Input'!D14)/1000</f>
        <v>78.38</v>
      </c>
      <c r="E15" s="160">
        <f>('Balance Sheet Input'!E16+'Balance Sheet Input'!E15+'Balance Sheet Input'!E14)/1000</f>
        <v>991.21799999999996</v>
      </c>
      <c r="F15" s="160">
        <f>('Balance Sheet Input'!F16+'Balance Sheet Input'!F15+'Balance Sheet Input'!F14)/1000</f>
        <v>1231.7339999999999</v>
      </c>
      <c r="G15" s="200">
        <f>('Balance Sheet Input'!G16+'Balance Sheet Input'!G15+'Balance Sheet Input'!G14)/1000</f>
        <v>1254.087</v>
      </c>
      <c r="H15" s="161"/>
      <c r="I15" s="161">
        <f>I16*('P&amp;L'!I$5)</f>
        <v>2491.7900197694539</v>
      </c>
      <c r="J15" s="161">
        <f>J16*('P&amp;L'!J$5)</f>
        <v>3193.8902318869773</v>
      </c>
      <c r="K15" s="161">
        <f>K16*('P&amp;L'!K$5)</f>
        <v>5750.7712781040491</v>
      </c>
      <c r="L15" s="161">
        <f>L16*('P&amp;L'!L$5)</f>
        <v>7636.0277294830939</v>
      </c>
      <c r="M15" s="161">
        <f>M16*('P&amp;L'!M$5)</f>
        <v>9860.6002418242479</v>
      </c>
      <c r="N15" s="161">
        <f>N16*('P&amp;L'!N$5)</f>
        <v>10573.550162383264</v>
      </c>
      <c r="O15" s="161">
        <f>O16*('P&amp;L'!O$5)</f>
        <v>11347.071122498388</v>
      </c>
      <c r="P15" s="161">
        <f>P16*('P&amp;L'!P$5)</f>
        <v>11782.715320282463</v>
      </c>
      <c r="Q15" s="161">
        <f>Q16*('P&amp;L'!Q$5)</f>
        <v>12237.751625645777</v>
      </c>
      <c r="R15" s="161">
        <f>R16*('P&amp;L'!R$5)</f>
        <v>12509.932032674265</v>
      </c>
      <c r="S15" s="161">
        <f>S16*('P&amp;L'!S$5)</f>
        <v>12789.201570314264</v>
      </c>
      <c r="U15" s="8" t="s">
        <v>124</v>
      </c>
    </row>
    <row r="16" spans="2:21" s="8" customFormat="1" ht="11.4" x14ac:dyDescent="0.25">
      <c r="B16" s="193" t="s">
        <v>118</v>
      </c>
      <c r="C16" s="194">
        <f>C15/('P&amp;L'!C$5)</f>
        <v>1.7065955134450323E-2</v>
      </c>
      <c r="D16" s="194">
        <f>D15/('P&amp;L'!D$5)</f>
        <v>1.9372099776941563E-2</v>
      </c>
      <c r="E16" s="194">
        <f>E15/('P&amp;L'!E$5)</f>
        <v>0.14159990125900485</v>
      </c>
      <c r="F16" s="194">
        <f>F15/('P&amp;L'!F$5)</f>
        <v>0.10475041099177965</v>
      </c>
      <c r="G16" s="195">
        <f>G15/('P&amp;L'!G$5)</f>
        <v>0.16922008446384029</v>
      </c>
      <c r="H16" s="196"/>
      <c r="I16" s="196">
        <f>AVERAGE($E$16:$G$16)</f>
        <v>0.1385234655715416</v>
      </c>
      <c r="J16" s="196">
        <f t="shared" ref="J16:S16" si="5">AVERAGE($E$16:$G$16)</f>
        <v>0.1385234655715416</v>
      </c>
      <c r="K16" s="196">
        <f t="shared" si="5"/>
        <v>0.1385234655715416</v>
      </c>
      <c r="L16" s="196">
        <f t="shared" si="5"/>
        <v>0.1385234655715416</v>
      </c>
      <c r="M16" s="196">
        <f t="shared" si="5"/>
        <v>0.1385234655715416</v>
      </c>
      <c r="N16" s="196">
        <f t="shared" si="5"/>
        <v>0.1385234655715416</v>
      </c>
      <c r="O16" s="196">
        <f t="shared" si="5"/>
        <v>0.1385234655715416</v>
      </c>
      <c r="P16" s="196">
        <f t="shared" si="5"/>
        <v>0.1385234655715416</v>
      </c>
      <c r="Q16" s="196">
        <f t="shared" si="5"/>
        <v>0.1385234655715416</v>
      </c>
      <c r="R16" s="196">
        <f t="shared" si="5"/>
        <v>0.1385234655715416</v>
      </c>
      <c r="S16" s="196">
        <f t="shared" si="5"/>
        <v>0.1385234655715416</v>
      </c>
    </row>
    <row r="17" spans="2:21" s="8" customFormat="1" ht="12.6" thickBot="1" x14ac:dyDescent="0.3">
      <c r="B17" s="116" t="s">
        <v>19</v>
      </c>
      <c r="C17" s="127">
        <f>C5+C6+C7+C8+C9+C11+C13+C15+C12+C14</f>
        <v>5830.6669999999995</v>
      </c>
      <c r="D17" s="127">
        <f>D5+D6+D7+D8+D9+D11+D13+D15+D12+D14</f>
        <v>8067.9389999999994</v>
      </c>
      <c r="E17" s="127">
        <f>E5+E6+E7+E8+E9+E11+E13+E15+E12+E14</f>
        <v>22664.076000000001</v>
      </c>
      <c r="F17" s="127">
        <f>F5+F6+F7+F8+F9+F11+F13+F15+F12+F14</f>
        <v>28655.372000000003</v>
      </c>
      <c r="G17" s="127">
        <f>G5+G6+G7+G8+G9+G11+G13+G15+G12+G14</f>
        <v>27909.999999999996</v>
      </c>
      <c r="H17" s="127"/>
      <c r="I17" s="127">
        <f t="shared" ref="I17:S17" si="6">I5+I6+I7+I8+I9+I11+I13+I15+I12+I14</f>
        <v>36547.092165435148</v>
      </c>
      <c r="J17" s="127">
        <f t="shared" si="6"/>
        <v>43230.378353239568</v>
      </c>
      <c r="K17" s="127">
        <f t="shared" si="6"/>
        <v>65111.566944408216</v>
      </c>
      <c r="L17" s="127">
        <f t="shared" si="6"/>
        <v>81813.801864323235</v>
      </c>
      <c r="M17" s="127">
        <f t="shared" si="6"/>
        <v>101952.51742275877</v>
      </c>
      <c r="N17" s="127">
        <f t="shared" si="6"/>
        <v>109648.41520552708</v>
      </c>
      <c r="O17" s="127">
        <f t="shared" si="6"/>
        <v>118037.33005905717</v>
      </c>
      <c r="P17" s="127">
        <f t="shared" si="6"/>
        <v>123708.08259191147</v>
      </c>
      <c r="Q17" s="127">
        <f t="shared" si="6"/>
        <v>129655.2610075952</v>
      </c>
      <c r="R17" s="127">
        <f t="shared" si="6"/>
        <v>134135.24707082115</v>
      </c>
      <c r="S17" s="127">
        <f t="shared" si="6"/>
        <v>138732.2486905072</v>
      </c>
    </row>
    <row r="18" spans="2:21" s="8" customFormat="1" ht="11.4" x14ac:dyDescent="0.25"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2:21" s="8" customFormat="1" ht="11.4" x14ac:dyDescent="0.2">
      <c r="B19" s="8" t="s">
        <v>20</v>
      </c>
      <c r="C19" s="160">
        <f>'Balance Sheet Input'!C18/1000</f>
        <v>777.94600000000003</v>
      </c>
      <c r="D19" s="160">
        <f>'Balance Sheet Input'!D18/1000</f>
        <v>916.14800000000002</v>
      </c>
      <c r="E19" s="160">
        <f>'Balance Sheet Input'!E18/1000</f>
        <v>1860.3409999999999</v>
      </c>
      <c r="F19" s="160">
        <f>'Balance Sheet Input'!F18/1000</f>
        <v>2390.25</v>
      </c>
      <c r="G19" s="200">
        <f>'Balance Sheet Input'!G18/1000</f>
        <v>3030.4929999999999</v>
      </c>
      <c r="H19" s="161"/>
      <c r="I19" s="161">
        <f>'Working capital'!I7</f>
        <v>4358.4202947927433</v>
      </c>
      <c r="J19" s="161">
        <f>'Working capital'!J7</f>
        <v>5711.3892884163561</v>
      </c>
      <c r="K19" s="161">
        <f>'Working capital'!K7</f>
        <v>10228.598216509052</v>
      </c>
      <c r="L19" s="161">
        <f>'Working capital'!L7</f>
        <v>13502.077042363444</v>
      </c>
      <c r="M19" s="161">
        <f>'Working capital'!M7</f>
        <v>17362.407606063916</v>
      </c>
      <c r="N19" s="161">
        <f>'Working capital'!N7</f>
        <v>18609.221379730076</v>
      </c>
      <c r="O19" s="161">
        <f>'Working capital'!O7</f>
        <v>19961.228205763695</v>
      </c>
      <c r="P19" s="161">
        <f>'Working capital'!P7</f>
        <v>20721.062835052122</v>
      </c>
      <c r="Q19" s="161">
        <f>'Working capital'!Q7</f>
        <v>21514.564784978378</v>
      </c>
      <c r="R19" s="161">
        <f>'Working capital'!R7</f>
        <v>21994.308502465519</v>
      </c>
      <c r="S19" s="161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60">
        <f>'Balance Sheet Input'!C19/1000</f>
        <v>268.88299999999998</v>
      </c>
      <c r="D20" s="160">
        <f>'Balance Sheet Input'!D19/1000</f>
        <v>422.798</v>
      </c>
      <c r="E20" s="160">
        <f>'Balance Sheet Input'!E19/1000</f>
        <v>1210.028</v>
      </c>
      <c r="F20" s="160">
        <f>'Balance Sheet Input'!F19/1000</f>
        <v>1731.366</v>
      </c>
      <c r="G20" s="200">
        <f>'Balance Sheet Input'!G19/1000</f>
        <v>1814.979</v>
      </c>
      <c r="H20" s="161"/>
      <c r="I20" s="161">
        <f>I21*('P&amp;L'!I$5)</f>
        <v>2711.0715284133826</v>
      </c>
      <c r="J20" s="161">
        <f>J21*('P&amp;L'!J$5)</f>
        <v>3474.9576825689101</v>
      </c>
      <c r="K20" s="161">
        <f>K21*('P&amp;L'!K$5)</f>
        <v>6256.8483519039928</v>
      </c>
      <c r="L20" s="161">
        <f>L21*('P&amp;L'!L$5)</f>
        <v>8308.0103874451197</v>
      </c>
      <c r="M20" s="161">
        <f>M21*('P&amp;L'!M$5)</f>
        <v>10728.348840224191</v>
      </c>
      <c r="N20" s="161">
        <f>N21*('P&amp;L'!N$5)</f>
        <v>11504.039494523771</v>
      </c>
      <c r="O20" s="161">
        <f>O21*('P&amp;L'!O$5)</f>
        <v>12345.631536775036</v>
      </c>
      <c r="P20" s="161">
        <f>P21*('P&amp;L'!P$5)</f>
        <v>12819.613121001852</v>
      </c>
      <c r="Q20" s="161">
        <f>Q21*('P&amp;L'!Q$5)</f>
        <v>13314.693349302564</v>
      </c>
      <c r="R20" s="161">
        <f>R21*('P&amp;L'!R$5)</f>
        <v>13610.826067642602</v>
      </c>
      <c r="S20" s="161">
        <f>S21*('P&amp;L'!S$5)</f>
        <v>13914.671771430681</v>
      </c>
      <c r="U20" s="8" t="s">
        <v>124</v>
      </c>
    </row>
    <row r="21" spans="2:21" s="8" customFormat="1" ht="11.4" x14ac:dyDescent="0.25">
      <c r="B21" s="193" t="s">
        <v>118</v>
      </c>
      <c r="C21" s="194">
        <f>C20/('P&amp;L'!C$5)</f>
        <v>8.406912801451745E-2</v>
      </c>
      <c r="D21" s="194">
        <f>D20/('P&amp;L'!D$5)</f>
        <v>0.1044971298990985</v>
      </c>
      <c r="E21" s="194">
        <f>E20/('P&amp;L'!E$5)</f>
        <v>0.17285788325134441</v>
      </c>
      <c r="F21" s="194">
        <f>F20/('P&amp;L'!F$5)</f>
        <v>0.14724063805756241</v>
      </c>
      <c r="G21" s="195">
        <f>G20/('P&amp;L'!G$5)</f>
        <v>0.24490398168555802</v>
      </c>
      <c r="H21" s="196"/>
      <c r="I21" s="196">
        <f>AVERAGE($C$21:$G$21)</f>
        <v>0.15071375218161615</v>
      </c>
      <c r="J21" s="196">
        <f t="shared" ref="J21:S21" si="7">AVERAGE($C$21:$G$21)</f>
        <v>0.15071375218161615</v>
      </c>
      <c r="K21" s="196">
        <f t="shared" si="7"/>
        <v>0.15071375218161615</v>
      </c>
      <c r="L21" s="196">
        <f t="shared" si="7"/>
        <v>0.15071375218161615</v>
      </c>
      <c r="M21" s="196">
        <f t="shared" si="7"/>
        <v>0.15071375218161615</v>
      </c>
      <c r="N21" s="196">
        <f t="shared" si="7"/>
        <v>0.15071375218161615</v>
      </c>
      <c r="O21" s="196">
        <f t="shared" si="7"/>
        <v>0.15071375218161615</v>
      </c>
      <c r="P21" s="196">
        <f t="shared" si="7"/>
        <v>0.15071375218161615</v>
      </c>
      <c r="Q21" s="196">
        <f t="shared" si="7"/>
        <v>0.15071375218161615</v>
      </c>
      <c r="R21" s="196">
        <f t="shared" si="7"/>
        <v>0.15071375218161615</v>
      </c>
      <c r="S21" s="196">
        <f t="shared" si="7"/>
        <v>0.15071375218161615</v>
      </c>
    </row>
    <row r="22" spans="2:21" s="8" customFormat="1" ht="11.4" x14ac:dyDescent="0.2">
      <c r="B22" s="8" t="s">
        <v>21</v>
      </c>
      <c r="C22" s="160">
        <f>'Balance Sheet Input'!C20/1000</f>
        <v>191.65100000000001</v>
      </c>
      <c r="D22" s="160">
        <f>'Balance Sheet Input'!D20/1000</f>
        <v>423.96100000000001</v>
      </c>
      <c r="E22" s="160">
        <f>'Balance Sheet Input'!E20/1000</f>
        <v>763.12599999999998</v>
      </c>
      <c r="F22" s="160">
        <f>'Balance Sheet Input'!F20/1000</f>
        <v>1015.253</v>
      </c>
      <c r="G22" s="200">
        <f>'Balance Sheet Input'!G20/1000</f>
        <v>576.32100000000003</v>
      </c>
      <c r="H22" s="161"/>
      <c r="I22" s="161">
        <f>I23*('P&amp;L'!I$5)</f>
        <v>1575.1498408193231</v>
      </c>
      <c r="J22" s="161">
        <f>J23*('P&amp;L'!J$5)</f>
        <v>2018.9725660818842</v>
      </c>
      <c r="K22" s="161">
        <f>K23*('P&amp;L'!K$5)</f>
        <v>3635.2687792416896</v>
      </c>
      <c r="L22" s="161">
        <f>L23*('P&amp;L'!L$5)</f>
        <v>4827.0069978448983</v>
      </c>
      <c r="M22" s="161">
        <f>M23*('P&amp;L'!M$5)</f>
        <v>6233.2390683262674</v>
      </c>
      <c r="N22" s="161">
        <f>N23*('P&amp;L'!N$5)</f>
        <v>6683.9202834250364</v>
      </c>
      <c r="O22" s="161">
        <f>O23*('P&amp;L'!O$5)</f>
        <v>7172.8906250385235</v>
      </c>
      <c r="P22" s="161">
        <f>P23*('P&amp;L'!P$5)</f>
        <v>7448.276947059725</v>
      </c>
      <c r="Q22" s="161">
        <f>Q23*('P&amp;L'!Q$5)</f>
        <v>7735.9217157896173</v>
      </c>
      <c r="R22" s="161">
        <f>R23*('P&amp;L'!R$5)</f>
        <v>7907.9767129617821</v>
      </c>
      <c r="S22" s="161">
        <f>S23*('P&amp;L'!S$5)</f>
        <v>8084.513003848776</v>
      </c>
      <c r="U22" s="8" t="s">
        <v>124</v>
      </c>
    </row>
    <row r="23" spans="2:21" s="8" customFormat="1" ht="11.4" x14ac:dyDescent="0.25">
      <c r="B23" s="193" t="s">
        <v>118</v>
      </c>
      <c r="C23" s="194">
        <f>C22/('P&amp;L'!C$5)</f>
        <v>5.9921722284823828E-2</v>
      </c>
      <c r="D23" s="194">
        <f>D22/('P&amp;L'!D$5)</f>
        <v>0.10478457251252773</v>
      </c>
      <c r="E23" s="194">
        <f>E22/('P&amp;L'!E$5)</f>
        <v>0.10901594427076518</v>
      </c>
      <c r="F23" s="194">
        <f>F22/('P&amp;L'!F$5)</f>
        <v>8.6340207391074106E-2</v>
      </c>
      <c r="G23" s="195">
        <f>G22/('P&amp;L'!G$5)</f>
        <v>7.7765807554248556E-2</v>
      </c>
      <c r="H23" s="196"/>
      <c r="I23" s="196">
        <f>AVERAGE($C$23:$G$23)</f>
        <v>8.7565650802687883E-2</v>
      </c>
      <c r="J23" s="196">
        <f t="shared" ref="J23:S23" si="8">AVERAGE($C$23:$G$23)</f>
        <v>8.7565650802687883E-2</v>
      </c>
      <c r="K23" s="196">
        <f t="shared" si="8"/>
        <v>8.7565650802687883E-2</v>
      </c>
      <c r="L23" s="196">
        <f t="shared" si="8"/>
        <v>8.7565650802687883E-2</v>
      </c>
      <c r="M23" s="196">
        <f t="shared" si="8"/>
        <v>8.7565650802687883E-2</v>
      </c>
      <c r="N23" s="196">
        <f t="shared" si="8"/>
        <v>8.7565650802687883E-2</v>
      </c>
      <c r="O23" s="196">
        <f t="shared" si="8"/>
        <v>8.7565650802687883E-2</v>
      </c>
      <c r="P23" s="196">
        <f t="shared" si="8"/>
        <v>8.7565650802687883E-2</v>
      </c>
      <c r="Q23" s="196">
        <f t="shared" si="8"/>
        <v>8.7565650802687883E-2</v>
      </c>
      <c r="R23" s="196">
        <f t="shared" si="8"/>
        <v>8.7565650802687883E-2</v>
      </c>
      <c r="S23" s="196">
        <f t="shared" si="8"/>
        <v>8.7565650802687883E-2</v>
      </c>
    </row>
    <row r="24" spans="2:21" s="8" customFormat="1" ht="11.4" x14ac:dyDescent="0.2">
      <c r="B24" s="8" t="s">
        <v>22</v>
      </c>
      <c r="C24" s="160">
        <f>'Balance Sheet Input'!C21/1000</f>
        <v>0</v>
      </c>
      <c r="D24" s="160">
        <f>'Balance Sheet Input'!D21/1000</f>
        <v>136.83099999999999</v>
      </c>
      <c r="E24" s="160">
        <f>'Balance Sheet Input'!E21/1000</f>
        <v>179.50399999999999</v>
      </c>
      <c r="F24" s="160">
        <f>'Balance Sheet Input'!F21/1000</f>
        <v>787.33299999999997</v>
      </c>
      <c r="G24" s="200">
        <f>'Balance Sheet Input'!G21/1000</f>
        <v>674.255</v>
      </c>
      <c r="H24" s="161"/>
      <c r="I24" s="161">
        <f>I25*('P&amp;L'!I$5)</f>
        <v>782.12506436822423</v>
      </c>
      <c r="J24" s="161">
        <f>J25*('P&amp;L'!J$5)</f>
        <v>1002.5008461309944</v>
      </c>
      <c r="K24" s="161">
        <f>K25*('P&amp;L'!K$5)</f>
        <v>1805.0567344636099</v>
      </c>
      <c r="L24" s="161">
        <f>L25*('P&amp;L'!L$5)</f>
        <v>2396.8025524045092</v>
      </c>
      <c r="M24" s="161">
        <f>M25*('P&amp;L'!M$5)</f>
        <v>3095.0531696726475</v>
      </c>
      <c r="N24" s="161">
        <f>N25*('P&amp;L'!N$5)</f>
        <v>3318.8344666858416</v>
      </c>
      <c r="O24" s="161">
        <f>O25*('P&amp;L'!O$5)</f>
        <v>3561.6278505265022</v>
      </c>
      <c r="P24" s="161">
        <f>P25*('P&amp;L'!P$5)</f>
        <v>3698.3682032569614</v>
      </c>
      <c r="Q24" s="161">
        <f>Q25*('P&amp;L'!Q$5)</f>
        <v>3841.1953663800759</v>
      </c>
      <c r="R24" s="161">
        <f>R25*('P&amp;L'!R$5)</f>
        <v>3926.6275724158891</v>
      </c>
      <c r="S24" s="161">
        <f>S25*('P&amp;L'!S$5)</f>
        <v>4014.2849204949121</v>
      </c>
      <c r="U24" s="8" t="s">
        <v>124</v>
      </c>
    </row>
    <row r="25" spans="2:21" s="8" customFormat="1" ht="11.4" x14ac:dyDescent="0.25">
      <c r="B25" s="193" t="s">
        <v>118</v>
      </c>
      <c r="C25" s="194">
        <f>C24/('P&amp;L'!C$5)</f>
        <v>0</v>
      </c>
      <c r="D25" s="194">
        <f>D24/('P&amp;L'!D$5)</f>
        <v>3.3818624452394634E-2</v>
      </c>
      <c r="E25" s="194">
        <f>E24/('P&amp;L'!E$5)</f>
        <v>2.5642945018751074E-2</v>
      </c>
      <c r="F25" s="194">
        <f>F24/('P&amp;L'!F$5)</f>
        <v>6.6957196389310386E-2</v>
      </c>
      <c r="G25" s="195">
        <f>G24/('P&amp;L'!G$5)</f>
        <v>9.0980520530207734E-2</v>
      </c>
      <c r="H25" s="196"/>
      <c r="I25" s="196">
        <f>AVERAGE($C$25:$G$25)</f>
        <v>4.3479857278132764E-2</v>
      </c>
      <c r="J25" s="196">
        <f t="shared" ref="J25:S25" si="9">AVERAGE($C$25:$G$25)</f>
        <v>4.3479857278132764E-2</v>
      </c>
      <c r="K25" s="196">
        <f t="shared" si="9"/>
        <v>4.3479857278132764E-2</v>
      </c>
      <c r="L25" s="196">
        <f t="shared" si="9"/>
        <v>4.3479857278132764E-2</v>
      </c>
      <c r="M25" s="196">
        <f t="shared" si="9"/>
        <v>4.3479857278132764E-2</v>
      </c>
      <c r="N25" s="196">
        <f t="shared" si="9"/>
        <v>4.3479857278132764E-2</v>
      </c>
      <c r="O25" s="196">
        <f t="shared" si="9"/>
        <v>4.3479857278132764E-2</v>
      </c>
      <c r="P25" s="196">
        <f t="shared" si="9"/>
        <v>4.3479857278132764E-2</v>
      </c>
      <c r="Q25" s="196">
        <f t="shared" si="9"/>
        <v>4.3479857278132764E-2</v>
      </c>
      <c r="R25" s="196">
        <f t="shared" si="9"/>
        <v>4.3479857278132764E-2</v>
      </c>
      <c r="S25" s="196">
        <f t="shared" si="9"/>
        <v>4.3479857278132764E-2</v>
      </c>
    </row>
    <row r="26" spans="2:21" s="8" customFormat="1" ht="11.4" x14ac:dyDescent="0.2">
      <c r="B26" s="8" t="s">
        <v>23</v>
      </c>
      <c r="C26" s="160">
        <f>'Balance Sheet Input'!C22/1000</f>
        <v>257.58699999999999</v>
      </c>
      <c r="D26" s="160">
        <f>'Balance Sheet Input'!D22/1000</f>
        <v>283.37</v>
      </c>
      <c r="E26" s="160">
        <f>'Balance Sheet Input'!E22/1000</f>
        <v>663.85900000000004</v>
      </c>
      <c r="F26" s="160">
        <f>'Balance Sheet Input'!F22/1000</f>
        <v>853.91899999999998</v>
      </c>
      <c r="G26" s="200">
        <f>'Balance Sheet Input'!G22/1000</f>
        <v>942.12900000000002</v>
      </c>
      <c r="H26" s="161"/>
      <c r="I26" s="161">
        <f>I27*('P&amp;L'!I$5)</f>
        <v>1601.5092419732368</v>
      </c>
      <c r="J26" s="161">
        <f>J27*('P&amp;L'!J$5)</f>
        <v>2052.7591344507809</v>
      </c>
      <c r="K26" s="161">
        <f>K27*('P&amp;L'!K$5)</f>
        <v>3696.1033141990033</v>
      </c>
      <c r="L26" s="161">
        <f>L27*('P&amp;L'!L$5)</f>
        <v>4907.7847184982938</v>
      </c>
      <c r="M26" s="161">
        <f>M27*('P&amp;L'!M$5)</f>
        <v>6337.5494296851566</v>
      </c>
      <c r="N26" s="161">
        <f>N27*('P&amp;L'!N$5)</f>
        <v>6795.7725856415291</v>
      </c>
      <c r="O26" s="161">
        <f>O27*('P&amp;L'!O$5)</f>
        <v>7292.9256188650097</v>
      </c>
      <c r="P26" s="161">
        <f>P27*('P&amp;L'!P$5)</f>
        <v>7572.9204031076097</v>
      </c>
      <c r="Q26" s="161">
        <f>Q27*('P&amp;L'!Q$5)</f>
        <v>7865.3787734722728</v>
      </c>
      <c r="R26" s="161">
        <f>R27*('P&amp;L'!R$5)</f>
        <v>8040.3130311271334</v>
      </c>
      <c r="S26" s="161">
        <f>S27*('P&amp;L'!S$5)</f>
        <v>8219.8035748662205</v>
      </c>
      <c r="U26" s="8" t="s">
        <v>124</v>
      </c>
    </row>
    <row r="27" spans="2:21" s="8" customFormat="1" ht="11.4" x14ac:dyDescent="0.25">
      <c r="B27" s="193" t="s">
        <v>118</v>
      </c>
      <c r="C27" s="194">
        <f>C26/('P&amp;L'!C$5)</f>
        <v>8.053731354483365E-2</v>
      </c>
      <c r="D27" s="194">
        <f>D26/('P&amp;L'!D$5)</f>
        <v>7.0036640900637048E-2</v>
      </c>
      <c r="E27" s="194">
        <f>E26/('P&amp;L'!E$5)</f>
        <v>9.4835211678865494E-2</v>
      </c>
      <c r="F27" s="194">
        <f>F26/('P&amp;L'!F$5)</f>
        <v>7.2619872637833732E-2</v>
      </c>
      <c r="G27" s="195">
        <f>G26/('P&amp;L'!G$5)</f>
        <v>0.12712606777347454</v>
      </c>
      <c r="H27" s="196"/>
      <c r="I27" s="196">
        <f>AVERAGE($C$27:$G$27)</f>
        <v>8.9031021307128894E-2</v>
      </c>
      <c r="J27" s="196">
        <f t="shared" ref="J27:S27" si="10">AVERAGE($C$27:$G$27)</f>
        <v>8.9031021307128894E-2</v>
      </c>
      <c r="K27" s="196">
        <f t="shared" si="10"/>
        <v>8.9031021307128894E-2</v>
      </c>
      <c r="L27" s="196">
        <f t="shared" si="10"/>
        <v>8.9031021307128894E-2</v>
      </c>
      <c r="M27" s="196">
        <f t="shared" si="10"/>
        <v>8.9031021307128894E-2</v>
      </c>
      <c r="N27" s="196">
        <f t="shared" si="10"/>
        <v>8.9031021307128894E-2</v>
      </c>
      <c r="O27" s="196">
        <f t="shared" si="10"/>
        <v>8.9031021307128894E-2</v>
      </c>
      <c r="P27" s="196">
        <f t="shared" si="10"/>
        <v>8.9031021307128894E-2</v>
      </c>
      <c r="Q27" s="196">
        <f t="shared" si="10"/>
        <v>8.9031021307128894E-2</v>
      </c>
      <c r="R27" s="196">
        <f t="shared" si="10"/>
        <v>8.9031021307128894E-2</v>
      </c>
      <c r="S27" s="196">
        <f t="shared" si="10"/>
        <v>8.9031021307128894E-2</v>
      </c>
    </row>
    <row r="28" spans="2:21" s="8" customFormat="1" ht="11.4" x14ac:dyDescent="0.2">
      <c r="B28" s="8" t="s">
        <v>113</v>
      </c>
      <c r="C28" s="160">
        <f>('Balance Sheet Input'!C23+'Balance Sheet Input'!C28)/1000</f>
        <v>2429.884</v>
      </c>
      <c r="D28" s="160">
        <f>('Balance Sheet Input'!D23+'Balance Sheet Input'!D28)/1000</f>
        <v>2649.02</v>
      </c>
      <c r="E28" s="160">
        <f>('Balance Sheet Input'!E23+'Balance Sheet Input'!E28)/1000</f>
        <v>6844.26</v>
      </c>
      <c r="F28" s="160">
        <f>('Balance Sheet Input'!F23+'Balance Sheet Input'!F28)/1000</f>
        <v>10212.249</v>
      </c>
      <c r="G28" s="200">
        <f>('Balance Sheet Input'!G23+'Balance Sheet Input'!G28)/1000</f>
        <v>11616.575000000001</v>
      </c>
      <c r="H28" s="161"/>
      <c r="I28" s="161">
        <f>G28+Financing!H19</f>
        <v>11616.575000000001</v>
      </c>
      <c r="J28" s="161">
        <f>I28+Financing!J19</f>
        <v>11984.470206731683</v>
      </c>
      <c r="K28" s="161">
        <f>J28+Financing!K19</f>
        <v>11984.470206731683</v>
      </c>
      <c r="L28" s="161">
        <f>K28+Financing!L19</f>
        <v>11984.470206731683</v>
      </c>
      <c r="M28" s="161">
        <f>L28+Financing!M19</f>
        <v>11984.470206731683</v>
      </c>
      <c r="N28" s="161">
        <f>M28+Financing!N19</f>
        <v>11984.470206731683</v>
      </c>
      <c r="O28" s="161">
        <f>N28+Financing!O19</f>
        <v>11984.470206731683</v>
      </c>
      <c r="P28" s="161">
        <f>O28+Financing!P19</f>
        <v>11984.470206731683</v>
      </c>
      <c r="Q28" s="161">
        <f>P28+Financing!Q19</f>
        <v>11984.470206731683</v>
      </c>
      <c r="R28" s="161">
        <f>Q28+Financing!R19</f>
        <v>11984.470206731683</v>
      </c>
      <c r="S28" s="161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63">
        <f>('Balance Sheet Input'!C29+'Balance Sheet Input'!C25)/1000</f>
        <v>993.00599999999997</v>
      </c>
      <c r="D29" s="63">
        <f>('Balance Sheet Input'!D29+'Balance Sheet Input'!D25)/1000</f>
        <v>2152.107</v>
      </c>
      <c r="E29" s="63">
        <f>('Balance Sheet Input'!E29+'Balance Sheet Input'!E25)/1000</f>
        <v>5604.8720000000003</v>
      </c>
      <c r="F29" s="63">
        <f>('Balance Sheet Input'!F29+'Balance Sheet Input'!F25)/1000</f>
        <v>6430.4139999999998</v>
      </c>
      <c r="G29" s="200">
        <f>('Balance Sheet Input'!G29+'Balance Sheet Input'!G25)/1000</f>
        <v>3988.1350000000002</v>
      </c>
      <c r="H29" s="161"/>
      <c r="I29" s="161">
        <f>I30*('P&amp;L'!I$5)</f>
        <v>9814.5930239353966</v>
      </c>
      <c r="J29" s="161">
        <f>J30*('P&amp;L'!J$5)</f>
        <v>12580.005755057002</v>
      </c>
      <c r="K29" s="161">
        <f>K30*('P&amp;L'!K$5)</f>
        <v>22650.977498316708</v>
      </c>
      <c r="L29" s="161">
        <f>L30*('P&amp;L'!L$5)</f>
        <v>30076.57302170913</v>
      </c>
      <c r="M29" s="161">
        <f>M30*('P&amp;L'!M$5)</f>
        <v>38838.657181144838</v>
      </c>
      <c r="N29" s="161">
        <f>N30*('P&amp;L'!N$5)</f>
        <v>41646.804441234286</v>
      </c>
      <c r="O29" s="161">
        <f>O30*('P&amp;L'!O$5)</f>
        <v>44693.527222360164</v>
      </c>
      <c r="P29" s="161">
        <f>P30*('P&amp;L'!P$5)</f>
        <v>46409.430436743016</v>
      </c>
      <c r="Q29" s="161">
        <f>Q30*('P&amp;L'!Q$5)</f>
        <v>48201.71474353598</v>
      </c>
      <c r="R29" s="161">
        <f>R30*('P&amp;L'!R$5)</f>
        <v>49273.771338545885</v>
      </c>
      <c r="S29" s="161">
        <f>S30*('P&amp;L'!S$5)</f>
        <v>50373.750403464357</v>
      </c>
      <c r="U29" s="8" t="s">
        <v>124</v>
      </c>
    </row>
    <row r="30" spans="2:21" s="8" customFormat="1" ht="11.4" x14ac:dyDescent="0.25">
      <c r="B30" s="193" t="s">
        <v>118</v>
      </c>
      <c r="C30" s="194">
        <f>C29/('P&amp;L'!C$5)</f>
        <v>0.31047388095634126</v>
      </c>
      <c r="D30" s="194">
        <f>D29/('P&amp;L'!D$5)</f>
        <v>0.53190650082488367</v>
      </c>
      <c r="E30" s="194">
        <f>E29/('P&amp;L'!E$5)</f>
        <v>0.80068090144585857</v>
      </c>
      <c r="F30" s="194">
        <f>F29/('P&amp;L'!F$5)</f>
        <v>0.54686199240038336</v>
      </c>
      <c r="G30" s="195">
        <f>G29/('P&amp;L'!G$5)</f>
        <v>0.53813853548693014</v>
      </c>
      <c r="H30" s="196"/>
      <c r="I30" s="196">
        <f>AVERAGE($C$30:$G$30)</f>
        <v>0.54561236222287945</v>
      </c>
      <c r="J30" s="196">
        <f t="shared" ref="J30:S30" si="11">AVERAGE($C$30:$G$30)</f>
        <v>0.54561236222287945</v>
      </c>
      <c r="K30" s="196">
        <f t="shared" si="11"/>
        <v>0.54561236222287945</v>
      </c>
      <c r="L30" s="196">
        <f t="shared" si="11"/>
        <v>0.54561236222287945</v>
      </c>
      <c r="M30" s="196">
        <f t="shared" si="11"/>
        <v>0.54561236222287945</v>
      </c>
      <c r="N30" s="196">
        <f t="shared" si="11"/>
        <v>0.54561236222287945</v>
      </c>
      <c r="O30" s="196">
        <f t="shared" si="11"/>
        <v>0.54561236222287945</v>
      </c>
      <c r="P30" s="196">
        <f t="shared" si="11"/>
        <v>0.54561236222287945</v>
      </c>
      <c r="Q30" s="196">
        <f t="shared" si="11"/>
        <v>0.54561236222287945</v>
      </c>
      <c r="R30" s="196">
        <f t="shared" si="11"/>
        <v>0.54561236222287945</v>
      </c>
      <c r="S30" s="196">
        <f t="shared" si="11"/>
        <v>0.54561236222287945</v>
      </c>
    </row>
    <row r="31" spans="2:21" s="8" customFormat="1" ht="12" x14ac:dyDescent="0.25">
      <c r="B31" s="12" t="s">
        <v>29</v>
      </c>
      <c r="C31" s="203">
        <f>C19+C20+C22+C24+C26+C28+C29</f>
        <v>4918.9570000000003</v>
      </c>
      <c r="D31" s="203">
        <f t="shared" ref="D31:F31" si="12">D19+D20+D22+D24+D26+D28+D29</f>
        <v>6984.2349999999997</v>
      </c>
      <c r="E31" s="203">
        <f t="shared" si="12"/>
        <v>17125.990000000002</v>
      </c>
      <c r="F31" s="203">
        <f t="shared" si="12"/>
        <v>23420.784</v>
      </c>
      <c r="G31" s="204">
        <f t="shared" ref="G31" si="13">G19+G20+G22+G24+G26+G28+G29</f>
        <v>22642.887000000002</v>
      </c>
      <c r="H31" s="205"/>
      <c r="I31" s="205">
        <f t="shared" ref="I31:N31" si="14">I19+I20+I22+I24+I26+I28+I29</f>
        <v>32459.44399430231</v>
      </c>
      <c r="J31" s="205">
        <f t="shared" si="14"/>
        <v>38825.055479437608</v>
      </c>
      <c r="K31" s="205">
        <f t="shared" si="14"/>
        <v>60257.323101365742</v>
      </c>
      <c r="L31" s="205">
        <f t="shared" si="14"/>
        <v>76002.724926997078</v>
      </c>
      <c r="M31" s="205">
        <f t="shared" si="14"/>
        <v>94579.725501848705</v>
      </c>
      <c r="N31" s="205">
        <f t="shared" si="14"/>
        <v>100543.06285797223</v>
      </c>
      <c r="O31" s="205">
        <f t="shared" ref="O31:S31" si="15">O19+O20+O22+O24+O26+O28+O29</f>
        <v>107012.30126606062</v>
      </c>
      <c r="P31" s="205">
        <f t="shared" si="15"/>
        <v>110654.14215295296</v>
      </c>
      <c r="Q31" s="205">
        <f t="shared" si="15"/>
        <v>114457.93894019058</v>
      </c>
      <c r="R31" s="205">
        <f t="shared" si="15"/>
        <v>116738.29343189049</v>
      </c>
      <c r="S31" s="205">
        <f t="shared" si="15"/>
        <v>119078.1081204463</v>
      </c>
    </row>
    <row r="32" spans="2:21" s="8" customFormat="1" ht="12" x14ac:dyDescent="0.25">
      <c r="B32" s="12" t="s">
        <v>116</v>
      </c>
      <c r="C32" s="203">
        <f>('Balance Sheet Input'!C32+'Balance Sheet Input'!C31)/1000</f>
        <v>911.71</v>
      </c>
      <c r="D32" s="203">
        <f>('Balance Sheet Input'!D32+'Balance Sheet Input'!D31)/1000</f>
        <v>1083.704</v>
      </c>
      <c r="E32" s="203">
        <f>('Balance Sheet Input'!E32+'Balance Sheet Input'!E31)/1000</f>
        <v>5538.0860000000002</v>
      </c>
      <c r="F32" s="203">
        <f>('Balance Sheet Input'!F32+'Balance Sheet Input'!F31)/1000</f>
        <v>5234.5879999999997</v>
      </c>
      <c r="G32" s="204">
        <f>('Balance Sheet Input'!G32+'Balance Sheet Input'!G31)/1000</f>
        <v>5267.1130000000003</v>
      </c>
      <c r="H32" s="205"/>
      <c r="I32" s="205">
        <f>G32+'P&amp;L'!H14+Financing!H20</f>
        <v>4087.6481711328315</v>
      </c>
      <c r="J32" s="205">
        <f>I32+'P&amp;L'!J14+Financing!J20</f>
        <v>4405.3228738019452</v>
      </c>
      <c r="K32" s="205">
        <f>J32+'P&amp;L'!K14+Financing!K20</f>
        <v>4854.2438430424763</v>
      </c>
      <c r="L32" s="205">
        <f>K32+'P&amp;L'!L14+Financing!L20</f>
        <v>5811.0769373261555</v>
      </c>
      <c r="M32" s="205">
        <f>L32+'P&amp;L'!M14+Financing!M20</f>
        <v>7372.7919209100519</v>
      </c>
      <c r="N32" s="205">
        <f>M32+'P&amp;L'!N14+Financing!N20</f>
        <v>9105.3523475548318</v>
      </c>
      <c r="O32" s="205">
        <f>N32+'P&amp;L'!O14+Financing!O20</f>
        <v>11025.028792996536</v>
      </c>
      <c r="P32" s="205">
        <f>O32+'P&amp;L'!P14+Financing!P20</f>
        <v>13053.940438958492</v>
      </c>
      <c r="Q32" s="205">
        <f>P32+'P&amp;L'!Q14+Financing!Q20</f>
        <v>15197.322067404592</v>
      </c>
      <c r="R32" s="205">
        <f>Q32+'P&amp;L'!R14+Financing!R20</f>
        <v>17396.953638930652</v>
      </c>
      <c r="S32" s="205">
        <f>R32+'P&amp;L'!S14+Financing!S20</f>
        <v>19654.140570060939</v>
      </c>
    </row>
    <row r="33" spans="2:19" s="8" customFormat="1" ht="11.4" x14ac:dyDescent="0.25"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</row>
    <row r="34" spans="2:19" s="8" customFormat="1" ht="12.6" thickBot="1" x14ac:dyDescent="0.3">
      <c r="B34" s="116" t="s">
        <v>115</v>
      </c>
      <c r="C34" s="127">
        <f>C31+C32</f>
        <v>5830.6670000000004</v>
      </c>
      <c r="D34" s="127">
        <f>D31+D32</f>
        <v>8067.9389999999994</v>
      </c>
      <c r="E34" s="127">
        <f>E31+E32</f>
        <v>22664.076000000001</v>
      </c>
      <c r="F34" s="127">
        <f>F31+F32</f>
        <v>28655.371999999999</v>
      </c>
      <c r="G34" s="127">
        <f>G31+G32</f>
        <v>27910.000000000004</v>
      </c>
      <c r="H34" s="127"/>
      <c r="I34" s="127">
        <f t="shared" ref="I34:N34" si="16">I31+I32</f>
        <v>36547.09216543514</v>
      </c>
      <c r="J34" s="127">
        <f t="shared" si="16"/>
        <v>43230.378353239554</v>
      </c>
      <c r="K34" s="127">
        <f t="shared" si="16"/>
        <v>65111.566944408216</v>
      </c>
      <c r="L34" s="127">
        <f t="shared" si="16"/>
        <v>81813.801864323235</v>
      </c>
      <c r="M34" s="127">
        <f t="shared" si="16"/>
        <v>101952.51742275876</v>
      </c>
      <c r="N34" s="127">
        <f t="shared" si="16"/>
        <v>109648.41520552705</v>
      </c>
      <c r="O34" s="127">
        <f t="shared" ref="O34:S34" si="17">O31+O32</f>
        <v>118037.33005905716</v>
      </c>
      <c r="P34" s="127">
        <f t="shared" si="17"/>
        <v>123708.08259191146</v>
      </c>
      <c r="Q34" s="127">
        <f t="shared" si="17"/>
        <v>129655.26100759517</v>
      </c>
      <c r="R34" s="127">
        <f t="shared" si="17"/>
        <v>134135.24707082115</v>
      </c>
      <c r="S34" s="127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75">
        <f>C17-C34</f>
        <v>0</v>
      </c>
      <c r="D36" s="175">
        <f>D17-D34</f>
        <v>0</v>
      </c>
      <c r="E36" s="175">
        <f>E17-E34</f>
        <v>0</v>
      </c>
      <c r="F36" s="175">
        <f>F17-F34</f>
        <v>0</v>
      </c>
      <c r="G36" s="175">
        <f>G17-G34</f>
        <v>0</v>
      </c>
      <c r="H36" s="175"/>
      <c r="I36" s="175">
        <f t="shared" ref="I36:S36" si="18">I17-I34</f>
        <v>0</v>
      </c>
      <c r="J36" s="175">
        <f t="shared" si="18"/>
        <v>0</v>
      </c>
      <c r="K36" s="175">
        <f t="shared" si="18"/>
        <v>0</v>
      </c>
      <c r="L36" s="175">
        <f t="shared" si="18"/>
        <v>0</v>
      </c>
      <c r="M36" s="175">
        <f t="shared" si="18"/>
        <v>0</v>
      </c>
      <c r="N36" s="175">
        <f t="shared" si="18"/>
        <v>0</v>
      </c>
      <c r="O36" s="175">
        <f t="shared" si="18"/>
        <v>0</v>
      </c>
      <c r="P36" s="175">
        <f t="shared" si="18"/>
        <v>0</v>
      </c>
      <c r="Q36" s="175">
        <f t="shared" si="18"/>
        <v>0</v>
      </c>
      <c r="R36" s="175">
        <f t="shared" si="18"/>
        <v>0</v>
      </c>
      <c r="S36" s="175">
        <f t="shared" si="18"/>
        <v>0</v>
      </c>
    </row>
    <row r="37" spans="2:19" s="8" customFormat="1" ht="11.4" x14ac:dyDescent="0.25">
      <c r="H37" s="175"/>
      <c r="I37" s="175"/>
      <c r="J37" s="175"/>
      <c r="K37" s="175"/>
      <c r="L37" s="175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20" sqref="H20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18" t="s">
        <v>256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2:19" s="23" customFormat="1" ht="24" x14ac:dyDescent="0.25">
      <c r="B4" s="5" t="s">
        <v>259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2:19" s="23" customFormat="1" ht="11.4" x14ac:dyDescent="0.2">
      <c r="B5" s="40" t="s">
        <v>43</v>
      </c>
      <c r="C5" s="153"/>
      <c r="D5" s="180">
        <f>'P&amp;L'!D9</f>
        <v>-716.62899999999991</v>
      </c>
      <c r="E5" s="180">
        <f>'P&amp;L'!E9</f>
        <v>-667.3400000000006</v>
      </c>
      <c r="F5" s="180">
        <f>'P&amp;L'!F9</f>
        <v>-1632.0859999999989</v>
      </c>
      <c r="G5" s="180">
        <f>'P&amp;L'!G9</f>
        <v>-1218.366</v>
      </c>
      <c r="H5" s="165">
        <f>'P&amp;L'!H9</f>
        <v>-779.08857886716851</v>
      </c>
      <c r="I5" s="165">
        <f>G5+H5</f>
        <v>-1997.4545788671685</v>
      </c>
      <c r="J5" s="165">
        <f>'P&amp;L'!J9</f>
        <v>663.28374593743229</v>
      </c>
      <c r="K5" s="165">
        <f>'P&amp;L'!K9</f>
        <v>1382.4120608484918</v>
      </c>
      <c r="L5" s="165">
        <f>'P&amp;L'!L9</f>
        <v>2108.0008109101327</v>
      </c>
      <c r="M5" s="165">
        <f>'P&amp;L'!M9</f>
        <v>2972.1177956247284</v>
      </c>
      <c r="N5" s="165">
        <f>'P&amp;L'!N9</f>
        <v>3216.1827142831335</v>
      </c>
      <c r="O5" s="165">
        <f>'P&amp;L'!O9</f>
        <v>3483.4913125644543</v>
      </c>
      <c r="P5" s="165">
        <f>'P&amp;L'!P9</f>
        <v>3639.5415990219553</v>
      </c>
      <c r="Q5" s="165">
        <f>'P&amp;L'!Q9</f>
        <v>3803.0701454278751</v>
      </c>
      <c r="R5" s="165">
        <f>'P&amp;L'!R9</f>
        <v>3883.4272069706749</v>
      </c>
      <c r="S5" s="165">
        <f>'P&amp;L'!S9</f>
        <v>3965.6491492624318</v>
      </c>
    </row>
    <row r="6" spans="2:19" s="23" customFormat="1" ht="11.4" x14ac:dyDescent="0.2">
      <c r="B6" s="40" t="s">
        <v>142</v>
      </c>
      <c r="C6" s="154"/>
      <c r="D6" s="180">
        <f>'P&amp;L'!D12</f>
        <v>-13.039</v>
      </c>
      <c r="E6" s="180">
        <f>'P&amp;L'!E12</f>
        <v>-26.698</v>
      </c>
      <c r="F6" s="180">
        <f>'P&amp;L'!F12</f>
        <v>-31.545999999999999</v>
      </c>
      <c r="G6" s="160">
        <f>'P&amp;L'!G12</f>
        <v>-19.312000000000001</v>
      </c>
      <c r="H6" s="165">
        <f>IF(H5*Drivers!$C$12&gt;0,H5*Drivers!C12,0)</f>
        <v>0</v>
      </c>
      <c r="I6" s="165">
        <f>G6+H6</f>
        <v>-19.312000000000001</v>
      </c>
      <c r="J6" s="165">
        <f>IF(J5*Drivers!$C$12&gt;0,-J5*Drivers!$C$12,0)</f>
        <v>-198.98512378122967</v>
      </c>
      <c r="K6" s="165">
        <f>IF(K5*Drivers!$C$12&gt;0,-K5*Drivers!$C$12,0)</f>
        <v>-414.72361825454755</v>
      </c>
      <c r="L6" s="165">
        <f>IF(L5*Drivers!$C$12&gt;0,-L5*Drivers!$C$12,0)</f>
        <v>-632.40024327303979</v>
      </c>
      <c r="M6" s="165">
        <f>IF(M5*Drivers!$C$12&gt;0,-M5*Drivers!$C$12,0)</f>
        <v>-891.63533868741854</v>
      </c>
      <c r="N6" s="165">
        <f>IF(N5*Drivers!$C$12&gt;0,-N5*Drivers!$C$12,0)</f>
        <v>-964.85481428493995</v>
      </c>
      <c r="O6" s="165">
        <f>IF(O5*Drivers!$C$12&gt;0,-O5*Drivers!$C$12,0)</f>
        <v>-1045.0473937693362</v>
      </c>
      <c r="P6" s="165">
        <f>IF(P5*Drivers!$C$12&gt;0,-P5*Drivers!$C$12,0)</f>
        <v>-1091.8624797065866</v>
      </c>
      <c r="Q6" s="165">
        <f>IF(Q5*Drivers!$C$12&gt;0,-Q5*Drivers!$C$12,0)</f>
        <v>-1140.9210436283624</v>
      </c>
      <c r="R6" s="165">
        <f>IF(R5*Drivers!$C$12&gt;0,-R5*Drivers!$C$12,0)</f>
        <v>-1165.0281620912024</v>
      </c>
      <c r="S6" s="165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55"/>
      <c r="D7" s="181">
        <f>SUM(D5:D6)</f>
        <v>-729.66799999999989</v>
      </c>
      <c r="E7" s="181">
        <f>SUM(E5:E6)</f>
        <v>-694.03800000000058</v>
      </c>
      <c r="F7" s="181">
        <f t="shared" ref="F7:I9" si="0">SUM(F5:F6)</f>
        <v>-1663.6319999999989</v>
      </c>
      <c r="G7" s="182">
        <f t="shared" si="0"/>
        <v>-1237.6779999999999</v>
      </c>
      <c r="H7" s="183">
        <f t="shared" si="0"/>
        <v>-779.08857886716851</v>
      </c>
      <c r="I7" s="183">
        <f t="shared" si="0"/>
        <v>-2016.7665788671684</v>
      </c>
      <c r="J7" s="183">
        <f t="shared" ref="J7:K7" si="1">SUM(J5:J6)</f>
        <v>464.29862215620261</v>
      </c>
      <c r="K7" s="183">
        <f t="shared" si="1"/>
        <v>967.68844259394427</v>
      </c>
      <c r="L7" s="183">
        <f t="shared" ref="L7:N7" si="2">SUM(L5:L6)</f>
        <v>1475.6005676370928</v>
      </c>
      <c r="M7" s="183">
        <f t="shared" si="2"/>
        <v>2080.48245693731</v>
      </c>
      <c r="N7" s="183">
        <f t="shared" si="2"/>
        <v>2251.3278999981935</v>
      </c>
      <c r="O7" s="183">
        <f t="shared" ref="O7:S7" si="3">SUM(O5:O6)</f>
        <v>2438.4439187951184</v>
      </c>
      <c r="P7" s="183">
        <f t="shared" si="3"/>
        <v>2547.6791193153686</v>
      </c>
      <c r="Q7" s="183">
        <f t="shared" si="3"/>
        <v>2662.1491017995127</v>
      </c>
      <c r="R7" s="183">
        <f t="shared" si="3"/>
        <v>2718.3990448794725</v>
      </c>
      <c r="S7" s="183">
        <f t="shared" si="3"/>
        <v>2775.9544044837021</v>
      </c>
    </row>
    <row r="8" spans="2:19" s="23" customFormat="1" ht="11.4" x14ac:dyDescent="0.2">
      <c r="B8" s="40" t="s">
        <v>143</v>
      </c>
      <c r="C8" s="153"/>
      <c r="D8" s="180">
        <f>-'PP&amp;E'!D9</f>
        <v>422.59</v>
      </c>
      <c r="E8" s="180">
        <f>-'PP&amp;E'!E9</f>
        <v>947.09900000000005</v>
      </c>
      <c r="F8" s="180">
        <f>-'PP&amp;E'!F9</f>
        <v>1166.3969999999999</v>
      </c>
      <c r="G8" s="160">
        <f>-'PP&amp;E'!G9</f>
        <v>901.48800000000006</v>
      </c>
      <c r="H8" s="165">
        <f>-'PP&amp;E'!H9</f>
        <v>504.75157333333334</v>
      </c>
      <c r="I8" s="165">
        <f>G8+H8</f>
        <v>1406.2395733333333</v>
      </c>
      <c r="J8" s="165">
        <f>-'PP&amp;E'!J9</f>
        <v>1366.1942584888893</v>
      </c>
      <c r="K8" s="165">
        <f>-'PP&amp;E'!K9</f>
        <v>1748.7286508657783</v>
      </c>
      <c r="L8" s="165">
        <f>-'PP&amp;E'!L9</f>
        <v>2056.9420755808715</v>
      </c>
      <c r="M8" s="165">
        <f>-'PP&amp;E'!M9</f>
        <v>2399.3722908979053</v>
      </c>
      <c r="N8" s="165">
        <f>-'PP&amp;E'!N9</f>
        <v>2778.2969187330405</v>
      </c>
      <c r="O8" s="165">
        <f>-'PP&amp;E'!O9</f>
        <v>3195.9625132187621</v>
      </c>
      <c r="P8" s="165">
        <f>-'PP&amp;E'!P9</f>
        <v>3654.5483930920445</v>
      </c>
      <c r="Q8" s="165">
        <f>-'PP&amp;E'!Q9</f>
        <v>4156.1241370320895</v>
      </c>
      <c r="R8" s="165">
        <f>-'PP&amp;E'!R9</f>
        <v>4702.6000412663825</v>
      </c>
      <c r="S8" s="165">
        <f>-'PP&amp;E'!S9</f>
        <v>5295.669792463982</v>
      </c>
    </row>
    <row r="9" spans="2:19" s="23" customFormat="1" ht="12" x14ac:dyDescent="0.25">
      <c r="B9" s="38" t="s">
        <v>163</v>
      </c>
      <c r="C9" s="155"/>
      <c r="D9" s="181">
        <f>SUM(D7:D8)</f>
        <v>-307.07799999999992</v>
      </c>
      <c r="E9" s="181">
        <f>SUM(E7:E8)</f>
        <v>253.06099999999947</v>
      </c>
      <c r="F9" s="181">
        <f t="shared" ref="F9:G9" si="4">SUM(F7:F8)</f>
        <v>-497.23499999999899</v>
      </c>
      <c r="G9" s="182">
        <f t="shared" si="4"/>
        <v>-336.18999999999983</v>
      </c>
      <c r="H9" s="183">
        <f t="shared" si="0"/>
        <v>-274.33700553383517</v>
      </c>
      <c r="I9" s="183">
        <f t="shared" si="0"/>
        <v>-610.52700553383511</v>
      </c>
      <c r="J9" s="183">
        <f t="shared" ref="J9:K9" si="5">SUM(J7:J8)</f>
        <v>1830.4928806450919</v>
      </c>
      <c r="K9" s="183">
        <f t="shared" si="5"/>
        <v>2716.4170934597223</v>
      </c>
      <c r="L9" s="183">
        <f t="shared" ref="L9:N9" si="6">SUM(L7:L8)</f>
        <v>3532.5426432179643</v>
      </c>
      <c r="M9" s="183">
        <f t="shared" si="6"/>
        <v>4479.8547478352157</v>
      </c>
      <c r="N9" s="183">
        <f t="shared" si="6"/>
        <v>5029.624818731234</v>
      </c>
      <c r="O9" s="183">
        <f t="shared" ref="O9:S9" si="7">SUM(O7:O8)</f>
        <v>5634.4064320138805</v>
      </c>
      <c r="P9" s="183">
        <f t="shared" si="7"/>
        <v>6202.2275124074131</v>
      </c>
      <c r="Q9" s="183">
        <f t="shared" si="7"/>
        <v>6818.2732388316017</v>
      </c>
      <c r="R9" s="183">
        <f t="shared" si="7"/>
        <v>7420.9990861458555</v>
      </c>
      <c r="S9" s="183">
        <f t="shared" si="7"/>
        <v>8071.6241969476841</v>
      </c>
    </row>
    <row r="10" spans="2:19" s="23" customFormat="1" ht="3.75" customHeight="1" x14ac:dyDescent="0.2">
      <c r="B10" s="40"/>
      <c r="C10" s="153"/>
      <c r="D10" s="180"/>
      <c r="E10" s="180"/>
      <c r="F10" s="180"/>
      <c r="G10" s="160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</row>
    <row r="11" spans="2:19" s="23" customFormat="1" ht="11.4" x14ac:dyDescent="0.2">
      <c r="B11" s="40" t="s">
        <v>93</v>
      </c>
      <c r="C11" s="154"/>
      <c r="D11" s="180">
        <f>-('Balance Sheet'!D7-'Balance Sheet'!C7)</f>
        <v>57.63900000000001</v>
      </c>
      <c r="E11" s="180">
        <f>-('Balance Sheet'!E7-'Balance Sheet'!D7)</f>
        <v>-330.17700000000002</v>
      </c>
      <c r="F11" s="180">
        <f>-('Balance Sheet'!F7-'Balance Sheet'!E7)</f>
        <v>-16.238999999999976</v>
      </c>
      <c r="G11" s="160">
        <f>-('Balance Sheet'!G7-'Balance Sheet'!F7)</f>
        <v>-54.493000000000052</v>
      </c>
      <c r="H11" s="165">
        <f>-('Balance Sheet'!I7-'Balance Sheet'!G7)</f>
        <v>-387.793638932715</v>
      </c>
      <c r="I11" s="165">
        <f>G11+H11</f>
        <v>-442.28663893271505</v>
      </c>
      <c r="J11" s="165">
        <f>-('Balance Sheet'!J7-'Balance Sheet'!I7)</f>
        <v>-269.83760553586183</v>
      </c>
      <c r="K11" s="165">
        <f>-('Balance Sheet'!K7-'Balance Sheet'!J7)</f>
        <v>-982.68402037707278</v>
      </c>
      <c r="L11" s="165">
        <f>-('Balance Sheet'!L7-'Balance Sheet'!K7)</f>
        <v>-724.55908413257248</v>
      </c>
      <c r="M11" s="165">
        <f>-('Balance Sheet'!M7-'Balance Sheet'!L7)</f>
        <v>-854.9681508578642</v>
      </c>
      <c r="N11" s="165">
        <f>-('Balance Sheet'!N7-'Balance Sheet'!M7)</f>
        <v>-274.00746518849564</v>
      </c>
      <c r="O11" s="165">
        <f>-('Balance Sheet'!O7-'Balance Sheet'!N7)</f>
        <v>-297.28668373387063</v>
      </c>
      <c r="P11" s="165">
        <f>-('Balance Sheet'!P7-'Balance Sheet'!O7)</f>
        <v>-167.43078148503537</v>
      </c>
      <c r="Q11" s="165">
        <f>-('Balance Sheet'!Q7-'Balance Sheet'!P7)</f>
        <v>-174.88373447545564</v>
      </c>
      <c r="R11" s="165">
        <f>-('Balance Sheet'!R7-'Balance Sheet'!Q7)</f>
        <v>-104.60687525622052</v>
      </c>
      <c r="S11" s="165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54"/>
      <c r="D12" s="180">
        <f>-('Balance Sheet'!D8-'Balance Sheet'!C8)</f>
        <v>-324.16300000000001</v>
      </c>
      <c r="E12" s="180">
        <f>-('Balance Sheet'!E8-'Balance Sheet'!D8)</f>
        <v>-789.61600000000021</v>
      </c>
      <c r="F12" s="180">
        <f>-('Balance Sheet'!F8-'Balance Sheet'!E8)</f>
        <v>-196.08299999999963</v>
      </c>
      <c r="G12" s="160">
        <f>-('Balance Sheet'!G8-'Balance Sheet'!F8)</f>
        <v>-1061.1060000000002</v>
      </c>
      <c r="H12" s="165">
        <f>-('Balance Sheet'!I8-'Balance Sheet'!G8)</f>
        <v>-1748.4164185107193</v>
      </c>
      <c r="I12" s="165">
        <f t="shared" ref="I12:I13" si="8">G12+H12</f>
        <v>-2809.5224185107195</v>
      </c>
      <c r="J12" s="165">
        <f>-('Balance Sheet'!J8-'Balance Sheet'!I8)</f>
        <v>-1574.811888668858</v>
      </c>
      <c r="K12" s="165">
        <f>-('Balance Sheet'!K8-'Balance Sheet'!J8)</f>
        <v>-5257.8842213589433</v>
      </c>
      <c r="L12" s="165">
        <f>-('Balance Sheet'!L8-'Balance Sheet'!K8)</f>
        <v>-3810.2228480894446</v>
      </c>
      <c r="M12" s="165">
        <f>-('Balance Sheet'!M8-'Balance Sheet'!L8)</f>
        <v>-4493.2991772599889</v>
      </c>
      <c r="N12" s="165">
        <f>-('Balance Sheet'!N8-'Balance Sheet'!M8)</f>
        <v>-1451.2506664818538</v>
      </c>
      <c r="O12" s="165">
        <f>-('Balance Sheet'!O8-'Balance Sheet'!N8)</f>
        <v>-1573.6919568989833</v>
      </c>
      <c r="P12" s="165">
        <f>-('Balance Sheet'!P8-'Balance Sheet'!O8)</f>
        <v>-884.4227866751753</v>
      </c>
      <c r="Q12" s="165">
        <f>-('Balance Sheet'!Q8-'Balance Sheet'!P8)</f>
        <v>-923.61045250489042</v>
      </c>
      <c r="R12" s="165">
        <f>-('Balance Sheet'!R8-'Balance Sheet'!Q8)</f>
        <v>-558.40607831632224</v>
      </c>
      <c r="S12" s="165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54"/>
      <c r="D13" s="180">
        <f>'Balance Sheet'!D19-'Balance Sheet'!C19</f>
        <v>138.202</v>
      </c>
      <c r="E13" s="180">
        <f>'Balance Sheet'!E19-'Balance Sheet'!D19</f>
        <v>944.19299999999987</v>
      </c>
      <c r="F13" s="180">
        <f>'Balance Sheet'!F19-'Balance Sheet'!E19</f>
        <v>529.90900000000011</v>
      </c>
      <c r="G13" s="160">
        <f>'Balance Sheet'!G19-'Balance Sheet'!F19</f>
        <v>640.24299999999994</v>
      </c>
      <c r="H13" s="165">
        <f>'Balance Sheet'!I19-'Balance Sheet'!G19</f>
        <v>1327.9272947927434</v>
      </c>
      <c r="I13" s="165">
        <f t="shared" si="8"/>
        <v>1968.1702947927433</v>
      </c>
      <c r="J13" s="165">
        <f>'Balance Sheet'!J19-'Balance Sheet'!I19</f>
        <v>1352.9689936236127</v>
      </c>
      <c r="K13" s="165">
        <f>'Balance Sheet'!K19-'Balance Sheet'!J19</f>
        <v>4517.2089280926957</v>
      </c>
      <c r="L13" s="165">
        <f>'Balance Sheet'!L19-'Balance Sheet'!K19</f>
        <v>3273.4788258543922</v>
      </c>
      <c r="M13" s="165">
        <f>'Balance Sheet'!M19-'Balance Sheet'!L19</f>
        <v>3860.3305637004723</v>
      </c>
      <c r="N13" s="165">
        <f>'Balance Sheet'!N19-'Balance Sheet'!M19</f>
        <v>1246.8137736661592</v>
      </c>
      <c r="O13" s="165">
        <f>'Balance Sheet'!O19-'Balance Sheet'!N19</f>
        <v>1352.0068260336193</v>
      </c>
      <c r="P13" s="165">
        <f>'Balance Sheet'!P19-'Balance Sheet'!O19</f>
        <v>759.8346292884271</v>
      </c>
      <c r="Q13" s="165">
        <f>'Balance Sheet'!Q19-'Balance Sheet'!P19</f>
        <v>793.5019499262562</v>
      </c>
      <c r="R13" s="165">
        <f>'Balance Sheet'!R19-'Balance Sheet'!Q19</f>
        <v>479.74371748714111</v>
      </c>
      <c r="S13" s="165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56"/>
      <c r="D14" s="184">
        <f t="shared" ref="D14:H14" si="9">SUM(D11:D13)</f>
        <v>-128.322</v>
      </c>
      <c r="E14" s="184">
        <f t="shared" si="9"/>
        <v>-175.60000000000025</v>
      </c>
      <c r="F14" s="184">
        <f t="shared" si="9"/>
        <v>317.5870000000005</v>
      </c>
      <c r="G14" s="185">
        <f t="shared" si="9"/>
        <v>-475.35600000000022</v>
      </c>
      <c r="H14" s="186">
        <f t="shared" si="9"/>
        <v>-808.28276265069098</v>
      </c>
      <c r="I14" s="186">
        <f t="shared" ref="I14:J14" si="10">SUM(I11:I13)</f>
        <v>-1283.6387626506912</v>
      </c>
      <c r="J14" s="186">
        <f t="shared" si="10"/>
        <v>-491.68050058110703</v>
      </c>
      <c r="K14" s="186">
        <f t="shared" ref="K14:N14" si="11">SUM(K11:K13)</f>
        <v>-1723.3593136433201</v>
      </c>
      <c r="L14" s="186">
        <f t="shared" si="11"/>
        <v>-1261.3031063676244</v>
      </c>
      <c r="M14" s="186">
        <f t="shared" si="11"/>
        <v>-1487.9367644173808</v>
      </c>
      <c r="N14" s="186">
        <f t="shared" si="11"/>
        <v>-478.44435800419024</v>
      </c>
      <c r="O14" s="186">
        <f t="shared" ref="O14:S14" si="12">SUM(O11:O13)</f>
        <v>-518.97181459923468</v>
      </c>
      <c r="P14" s="186">
        <f t="shared" si="12"/>
        <v>-292.01893887178358</v>
      </c>
      <c r="Q14" s="186">
        <f t="shared" si="12"/>
        <v>-304.99223705408986</v>
      </c>
      <c r="R14" s="186">
        <f t="shared" si="12"/>
        <v>-183.26923608540164</v>
      </c>
      <c r="S14" s="186">
        <f t="shared" si="12"/>
        <v>-188.05355841680648</v>
      </c>
    </row>
    <row r="15" spans="2:19" s="23" customFormat="1" ht="3.75" customHeight="1" x14ac:dyDescent="0.25">
      <c r="B15" s="41"/>
      <c r="C15" s="154"/>
      <c r="D15" s="180"/>
      <c r="E15" s="180"/>
      <c r="F15" s="180"/>
      <c r="G15" s="160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</row>
    <row r="16" spans="2:19" s="23" customFormat="1" ht="11.4" x14ac:dyDescent="0.2">
      <c r="B16" s="43" t="s">
        <v>82</v>
      </c>
      <c r="C16" s="154"/>
      <c r="D16" s="180">
        <f>-'PP&amp;E'!D8</f>
        <v>-1996.6569999999997</v>
      </c>
      <c r="E16" s="180">
        <f>-'PP&amp;E'!E8</f>
        <v>-3526.7220000000007</v>
      </c>
      <c r="F16" s="180">
        <f>-'PP&amp;E'!F8</f>
        <v>-5210.9620000000004</v>
      </c>
      <c r="G16" s="160">
        <f>-'PP&amp;E'!G8</f>
        <v>-1843.3139999999992</v>
      </c>
      <c r="H16" s="165">
        <f>-'PP&amp;E'!H8</f>
        <v>-4173.1992000000009</v>
      </c>
      <c r="I16" s="165">
        <f t="shared" ref="I16:I18" si="13">G16+H16</f>
        <v>-6016.5132000000003</v>
      </c>
      <c r="J16" s="165">
        <f>-'PP&amp;E'!J8</f>
        <v>-5855.1182506666682</v>
      </c>
      <c r="K16" s="165">
        <f>-'PP&amp;E'!K8</f>
        <v>-5738.0158856533353</v>
      </c>
      <c r="L16" s="165">
        <f>-'PP&amp;E'!L8</f>
        <v>-4623.2013707264014</v>
      </c>
      <c r="M16" s="165">
        <f>-'PP&amp;E'!M8</f>
        <v>-5136.4532297555079</v>
      </c>
      <c r="N16" s="165">
        <f>-'PP&amp;E'!N8</f>
        <v>-5683.8694175270284</v>
      </c>
      <c r="O16" s="165">
        <f>-'PP&amp;E'!O8</f>
        <v>-6264.9839172858265</v>
      </c>
      <c r="P16" s="165">
        <f>-'PP&amp;E'!P8</f>
        <v>-6878.7881980992388</v>
      </c>
      <c r="Q16" s="165">
        <f>-'PP&amp;E'!Q8</f>
        <v>-7523.636159100678</v>
      </c>
      <c r="R16" s="165">
        <f>-'PP&amp;E'!R8</f>
        <v>-8197.1385635143961</v>
      </c>
      <c r="S16" s="165">
        <f>-'PP&amp;E'!S8</f>
        <v>-8896.0462679639986</v>
      </c>
    </row>
    <row r="17" spans="2:19" s="23" customFormat="1" ht="11.4" x14ac:dyDescent="0.2">
      <c r="B17" s="43" t="s">
        <v>18</v>
      </c>
      <c r="C17" s="154"/>
      <c r="D17" s="180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80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80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60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65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65">
        <f t="shared" si="13"/>
        <v>280.22447874295995</v>
      </c>
      <c r="J17" s="165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65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65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65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65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65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65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65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65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65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54"/>
      <c r="D18" s="180">
        <f>'Balance Sheet'!D20-'Balance Sheet'!C20+'Balance Sheet'!D22-'Balance Sheet'!C22+'Balance Sheet'!D24-'Balance Sheet'!C24+'Balance Sheet'!D26-'Balance Sheet'!C26+'Balance Sheet'!D29-'Balance Sheet'!C29</f>
        <v>1707.94</v>
      </c>
      <c r="E18" s="180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80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60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65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65">
        <f t="shared" si="13"/>
        <v>5666.1636995095641</v>
      </c>
      <c r="J18" s="165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65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65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65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65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65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65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65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65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65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54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</row>
    <row r="20" spans="2:19" s="23" customFormat="1" ht="12.6" thickBot="1" x14ac:dyDescent="0.3">
      <c r="B20" s="42" t="s">
        <v>130</v>
      </c>
      <c r="C20" s="157"/>
      <c r="D20" s="190">
        <f>D9+D14+D17+D18+D16</f>
        <v>-1829.6029999999996</v>
      </c>
      <c r="E20" s="190">
        <f>E9+E14+E17+E18+E16</f>
        <v>-7147.3520000000017</v>
      </c>
      <c r="F20" s="191">
        <f t="shared" ref="F20" si="14">F9+F14+F17+F18+F16</f>
        <v>-4753.4249999999993</v>
      </c>
      <c r="G20" s="192">
        <f t="shared" ref="G20:N20" si="15">G9+G14+G17+G18+G16</f>
        <v>-3806.0189999999984</v>
      </c>
      <c r="H20" s="192">
        <f t="shared" si="15"/>
        <v>1841.7282100679968</v>
      </c>
      <c r="I20" s="192">
        <f t="shared" si="15"/>
        <v>-1964.2907899320026</v>
      </c>
      <c r="J20" s="192">
        <f t="shared" si="15"/>
        <v>-735.79041346336271</v>
      </c>
      <c r="K20" s="192">
        <f t="shared" si="15"/>
        <v>9022.7749762208296</v>
      </c>
      <c r="L20" s="192">
        <f t="shared" si="15"/>
        <v>7799.3542205863851</v>
      </c>
      <c r="M20" s="192">
        <f t="shared" si="15"/>
        <v>9833.8556204995002</v>
      </c>
      <c r="N20" s="192">
        <f t="shared" si="15"/>
        <v>2706.2476341897545</v>
      </c>
      <c r="O20" s="192">
        <f t="shared" ref="O20:S20" si="16">O9+O14+O17+O18+O16</f>
        <v>3015.5369594204949</v>
      </c>
      <c r="P20" s="192">
        <f t="shared" si="16"/>
        <v>1377.1818424049725</v>
      </c>
      <c r="Q20" s="192">
        <f t="shared" si="16"/>
        <v>1439.824683525002</v>
      </c>
      <c r="R20" s="192">
        <f t="shared" si="16"/>
        <v>506.16873281726475</v>
      </c>
      <c r="S20" s="192">
        <f t="shared" si="16"/>
        <v>491.27381478358984</v>
      </c>
    </row>
    <row r="21" spans="2:19" s="23" customFormat="1" ht="3.75" customHeight="1" x14ac:dyDescent="0.2">
      <c r="B21" s="40"/>
      <c r="C21" s="159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</row>
    <row r="22" spans="2:19" s="23" customFormat="1" ht="11.4" x14ac:dyDescent="0.2">
      <c r="B22" s="40" t="s">
        <v>131</v>
      </c>
      <c r="C22" s="159"/>
      <c r="D22" s="180">
        <f>'P&amp;L'!D10</f>
        <v>-158.995</v>
      </c>
      <c r="E22" s="180">
        <f>'P&amp;L'!E10</f>
        <v>-79.007999999999996</v>
      </c>
      <c r="F22" s="180">
        <f>'P&amp;L'!F10</f>
        <v>-576.94600000000003</v>
      </c>
      <c r="G22" s="160">
        <f>'P&amp;L'!G10</f>
        <v>-289.65499999999997</v>
      </c>
      <c r="H22" s="165">
        <f>'P&amp;L'!H10</f>
        <v>-400.37624999999997</v>
      </c>
      <c r="I22" s="165">
        <f t="shared" ref="I22:I26" si="17">G22+H22</f>
        <v>-690.03125</v>
      </c>
      <c r="J22" s="165">
        <f>'P&amp;L'!J10</f>
        <v>-713.50424999999996</v>
      </c>
      <c r="K22" s="165">
        <f>'P&amp;L'!K10</f>
        <v>-741.09639050487613</v>
      </c>
      <c r="L22" s="165">
        <f>'P&amp;L'!L10</f>
        <v>-741.09639050487613</v>
      </c>
      <c r="M22" s="165">
        <f>'P&amp;L'!M10</f>
        <v>-741.09639050487613</v>
      </c>
      <c r="N22" s="165">
        <f>'P&amp;L'!N10</f>
        <v>-741.09639050487613</v>
      </c>
      <c r="O22" s="165">
        <f>'P&amp;L'!O10</f>
        <v>-741.09639050487613</v>
      </c>
      <c r="P22" s="165">
        <f>'P&amp;L'!P10</f>
        <v>-741.09639050487613</v>
      </c>
      <c r="Q22" s="165">
        <f>'P&amp;L'!Q10</f>
        <v>-741.09639050487613</v>
      </c>
      <c r="R22" s="165">
        <f>'P&amp;L'!R10</f>
        <v>-741.09639050487613</v>
      </c>
      <c r="S22" s="165">
        <f>'P&amp;L'!S10</f>
        <v>-741.09639050487613</v>
      </c>
    </row>
    <row r="23" spans="2:19" s="23" customFormat="1" ht="11.4" x14ac:dyDescent="0.2">
      <c r="B23" s="40" t="s">
        <v>132</v>
      </c>
      <c r="C23" s="159"/>
      <c r="D23" s="180">
        <f>'Balance Sheet'!D28-'Balance Sheet'!C28</f>
        <v>219.13599999999997</v>
      </c>
      <c r="E23" s="180">
        <f>'Balance Sheet'!E28-'Balance Sheet'!D28</f>
        <v>4195.24</v>
      </c>
      <c r="F23" s="180">
        <f>'Balance Sheet'!F28-'Balance Sheet'!E28</f>
        <v>3367.9889999999996</v>
      </c>
      <c r="G23" s="160">
        <f>'Balance Sheet'!G28-'Balance Sheet'!F28</f>
        <v>1404.3260000000009</v>
      </c>
      <c r="H23" s="165">
        <f>'Balance Sheet'!I28-'Balance Sheet'!G28</f>
        <v>0</v>
      </c>
      <c r="I23" s="165">
        <f t="shared" si="17"/>
        <v>1404.3260000000009</v>
      </c>
      <c r="J23" s="165">
        <f>'Balance Sheet'!K28-'Balance Sheet'!I28</f>
        <v>367.89520673168226</v>
      </c>
      <c r="K23" s="165">
        <f>'Balance Sheet'!L28-'Balance Sheet'!J28</f>
        <v>0</v>
      </c>
      <c r="L23" s="165">
        <f>'Balance Sheet'!M28-'Balance Sheet'!K28</f>
        <v>0</v>
      </c>
      <c r="M23" s="165">
        <f>'Balance Sheet'!N28-'Balance Sheet'!L28</f>
        <v>0</v>
      </c>
      <c r="N23" s="165">
        <f>'Balance Sheet'!O28-'Balance Sheet'!M28</f>
        <v>0</v>
      </c>
      <c r="O23" s="165">
        <f>'Balance Sheet'!P28-'Balance Sheet'!N28</f>
        <v>0</v>
      </c>
      <c r="P23" s="165">
        <f>'Balance Sheet'!Q28-'Balance Sheet'!O28</f>
        <v>0</v>
      </c>
      <c r="Q23" s="165">
        <f>'Balance Sheet'!R28-'Balance Sheet'!P28</f>
        <v>0</v>
      </c>
      <c r="R23" s="165">
        <f>'Balance Sheet'!S28-'Balance Sheet'!Q28</f>
        <v>0</v>
      </c>
      <c r="S23" s="165">
        <f>'Balance Sheet'!S28-'Balance Sheet'!R28</f>
        <v>0</v>
      </c>
    </row>
    <row r="24" spans="2:19" s="23" customFormat="1" ht="11.4" x14ac:dyDescent="0.2">
      <c r="B24" s="40" t="s">
        <v>138</v>
      </c>
      <c r="C24" s="159"/>
      <c r="D24" s="180">
        <f>'Balance Sheet'!D32-'Balance Sheet'!C32-'P&amp;L'!D14</f>
        <v>1060.6569999999997</v>
      </c>
      <c r="E24" s="180">
        <f>'Balance Sheet'!E32-'Balance Sheet'!D32-'P&amp;L'!E14</f>
        <v>5129.2960000000012</v>
      </c>
      <c r="F24" s="180">
        <f>'Balance Sheet'!F32-'Balance Sheet'!E32-'P&amp;L'!F14</f>
        <v>1657.9019999999982</v>
      </c>
      <c r="G24" s="160">
        <f>'Balance Sheet'!G32-'Balance Sheet'!F32-'P&amp;L'!G14</f>
        <v>1459.6150000000005</v>
      </c>
      <c r="H24" s="165">
        <f>'Balance Sheet'!I32-'Balance Sheet'!G32-'P&amp;L'!H14</f>
        <v>0</v>
      </c>
      <c r="I24" s="165">
        <f t="shared" si="17"/>
        <v>1459.6150000000005</v>
      </c>
      <c r="J24" s="165">
        <f>'Balance Sheet'!J32-'Balance Sheet'!I32-'P&amp;L'!J14</f>
        <v>367.89520673168136</v>
      </c>
      <c r="K24" s="165">
        <f>'Balance Sheet'!K32-'Balance Sheet'!J32-'P&amp;L'!K14</f>
        <v>0</v>
      </c>
      <c r="L24" s="165">
        <f>'Balance Sheet'!L32-'Balance Sheet'!K32-'P&amp;L'!L14</f>
        <v>0</v>
      </c>
      <c r="M24" s="165">
        <f>'Balance Sheet'!M32-'Balance Sheet'!L32-'P&amp;L'!M14</f>
        <v>0</v>
      </c>
      <c r="N24" s="165">
        <f>'Balance Sheet'!N32-'Balance Sheet'!M32-'P&amp;L'!N14</f>
        <v>0</v>
      </c>
      <c r="O24" s="165">
        <f>'Balance Sheet'!O32-'Balance Sheet'!N32-'P&amp;L'!O14</f>
        <v>0</v>
      </c>
      <c r="P24" s="165">
        <f>'Balance Sheet'!P32-'Balance Sheet'!O32-'P&amp;L'!P14</f>
        <v>0</v>
      </c>
      <c r="Q24" s="165">
        <f>'Balance Sheet'!Q32-'Balance Sheet'!P32-'P&amp;L'!Q14</f>
        <v>0</v>
      </c>
      <c r="R24" s="165">
        <f>'Balance Sheet'!R32-'Balance Sheet'!Q32-'P&amp;L'!R14</f>
        <v>0</v>
      </c>
      <c r="S24" s="165">
        <f>'Balance Sheet'!S32-'Balance Sheet'!R32-'P&amp;L'!S14</f>
        <v>0</v>
      </c>
    </row>
    <row r="25" spans="2:19" s="23" customFormat="1" ht="11.4" x14ac:dyDescent="0.2">
      <c r="B25" s="40" t="s">
        <v>141</v>
      </c>
      <c r="C25" s="159"/>
      <c r="D25" s="180">
        <f>'P&amp;L'!D12-D6</f>
        <v>0</v>
      </c>
      <c r="E25" s="180">
        <f>'P&amp;L'!E12-E6</f>
        <v>0</v>
      </c>
      <c r="F25" s="180">
        <f>'P&amp;L'!F12-F6</f>
        <v>0</v>
      </c>
      <c r="G25" s="160">
        <f>'P&amp;L'!G12-G6</f>
        <v>0</v>
      </c>
      <c r="H25" s="165">
        <f>'P&amp;L'!H12-H6</f>
        <v>0</v>
      </c>
      <c r="I25" s="165">
        <f t="shared" si="17"/>
        <v>0</v>
      </c>
      <c r="J25" s="165">
        <f>'P&amp;L'!J12-J6</f>
        <v>198.98512378122967</v>
      </c>
      <c r="K25" s="165">
        <f>'P&amp;L'!K12-K6</f>
        <v>222.32891715146283</v>
      </c>
      <c r="L25" s="165">
        <f>'P&amp;L'!L12-L6</f>
        <v>222.3289171514628</v>
      </c>
      <c r="M25" s="165">
        <f>'P&amp;L'!M12-M6</f>
        <v>222.32891715146286</v>
      </c>
      <c r="N25" s="165">
        <f>'P&amp;L'!N12-N6</f>
        <v>222.32891715146275</v>
      </c>
      <c r="O25" s="165">
        <f>'P&amp;L'!O12-O6</f>
        <v>222.32891715146275</v>
      </c>
      <c r="P25" s="165">
        <f>'P&amp;L'!P12-P6</f>
        <v>222.32891715146286</v>
      </c>
      <c r="Q25" s="165">
        <f>'P&amp;L'!Q12-Q6</f>
        <v>222.32891715146275</v>
      </c>
      <c r="R25" s="165">
        <f>'P&amp;L'!R12-R6</f>
        <v>222.32891715146275</v>
      </c>
      <c r="S25" s="165">
        <f>'P&amp;L'!S12-S6</f>
        <v>222.32891715146286</v>
      </c>
    </row>
    <row r="26" spans="2:19" s="23" customFormat="1" ht="11.4" x14ac:dyDescent="0.2">
      <c r="B26" s="40" t="s">
        <v>262</v>
      </c>
      <c r="C26" s="159"/>
      <c r="D26" s="180">
        <f>'P&amp;L'!D13</f>
        <v>0</v>
      </c>
      <c r="E26" s="180">
        <f>'P&amp;L'!E13</f>
        <v>98.132000000000005</v>
      </c>
      <c r="F26" s="180">
        <f>'P&amp;L'!F13</f>
        <v>279.178</v>
      </c>
      <c r="G26" s="180">
        <f>'P&amp;L'!G13</f>
        <v>100.24299999999999</v>
      </c>
      <c r="H26" s="165">
        <f>'P&amp;L'!H13</f>
        <v>0</v>
      </c>
      <c r="I26" s="165">
        <f t="shared" si="17"/>
        <v>100.24299999999999</v>
      </c>
      <c r="J26" s="165">
        <f>'P&amp;L'!J13</f>
        <v>0</v>
      </c>
      <c r="K26" s="165">
        <f>'P&amp;L'!K13</f>
        <v>0</v>
      </c>
      <c r="L26" s="165">
        <f>'P&amp;L'!L13</f>
        <v>0</v>
      </c>
      <c r="M26" s="165">
        <f>'P&amp;L'!M13</f>
        <v>0</v>
      </c>
      <c r="N26" s="165">
        <f>'P&amp;L'!N13</f>
        <v>0</v>
      </c>
      <c r="O26" s="165">
        <f>'P&amp;L'!O13</f>
        <v>0</v>
      </c>
      <c r="P26" s="165">
        <f>'P&amp;L'!P13</f>
        <v>0</v>
      </c>
      <c r="Q26" s="165">
        <f>'P&amp;L'!Q13</f>
        <v>0</v>
      </c>
      <c r="R26" s="165">
        <f>'P&amp;L'!R13</f>
        <v>0</v>
      </c>
      <c r="S26" s="165">
        <f>'P&amp;L'!S13</f>
        <v>0</v>
      </c>
    </row>
    <row r="27" spans="2:19" s="23" customFormat="1" ht="3.75" customHeight="1" x14ac:dyDescent="0.2">
      <c r="B27" s="40"/>
      <c r="C27" s="159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</row>
    <row r="28" spans="2:19" s="23" customFormat="1" ht="12.6" thickBot="1" x14ac:dyDescent="0.3">
      <c r="B28" s="42" t="s">
        <v>133</v>
      </c>
      <c r="C28" s="158"/>
      <c r="D28" s="190">
        <f t="shared" ref="D28:H28" si="18">SUM(D20:D27)</f>
        <v>-708.80499999999984</v>
      </c>
      <c r="E28" s="190">
        <f t="shared" si="18"/>
        <v>2196.3079999999995</v>
      </c>
      <c r="F28" s="190">
        <f t="shared" si="18"/>
        <v>-25.302000000001385</v>
      </c>
      <c r="G28" s="192">
        <f t="shared" si="18"/>
        <v>-1131.4899999999968</v>
      </c>
      <c r="H28" s="192">
        <f t="shared" si="18"/>
        <v>1441.3519600679967</v>
      </c>
      <c r="I28" s="192">
        <f t="shared" ref="I28:J28" si="19">SUM(I20:I27)</f>
        <v>309.86196006799884</v>
      </c>
      <c r="J28" s="192">
        <f t="shared" si="19"/>
        <v>-514.51912621876932</v>
      </c>
      <c r="K28" s="192">
        <f t="shared" ref="K28:N28" si="20">SUM(K20:K27)</f>
        <v>8504.0075028674164</v>
      </c>
      <c r="L28" s="192">
        <f t="shared" si="20"/>
        <v>7280.5867472329719</v>
      </c>
      <c r="M28" s="192">
        <f t="shared" si="20"/>
        <v>9315.0881471460871</v>
      </c>
      <c r="N28" s="192">
        <f t="shared" si="20"/>
        <v>2187.4801608363414</v>
      </c>
      <c r="O28" s="192">
        <f t="shared" ref="O28:S28" si="21">SUM(O20:O27)</f>
        <v>2496.7694860670817</v>
      </c>
      <c r="P28" s="192">
        <f t="shared" si="21"/>
        <v>858.41436905155922</v>
      </c>
      <c r="Q28" s="192">
        <f t="shared" si="21"/>
        <v>921.05721017158862</v>
      </c>
      <c r="R28" s="192">
        <f t="shared" si="21"/>
        <v>-12.598740536148625</v>
      </c>
      <c r="S28" s="192">
        <f t="shared" si="21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2">D32</f>
        <v>1196.9080000000001</v>
      </c>
      <c r="F30" s="37">
        <f t="shared" si="22"/>
        <v>3393.2159999999994</v>
      </c>
      <c r="G30" s="37">
        <f t="shared" si="22"/>
        <v>3367.9139999999979</v>
      </c>
      <c r="H30" s="37">
        <f t="shared" si="22"/>
        <v>2236.4240000000009</v>
      </c>
      <c r="I30" s="37">
        <f>G30</f>
        <v>3367.9139999999979</v>
      </c>
      <c r="J30" s="37">
        <f t="shared" si="22"/>
        <v>3677.7759600679969</v>
      </c>
      <c r="K30" s="37">
        <f t="shared" si="22"/>
        <v>3163.2568338492274</v>
      </c>
      <c r="L30" s="37">
        <f t="shared" si="22"/>
        <v>11667.264336716644</v>
      </c>
      <c r="M30" s="37">
        <f t="shared" si="22"/>
        <v>18947.851083949616</v>
      </c>
      <c r="N30" s="37">
        <f t="shared" si="22"/>
        <v>28262.939231095705</v>
      </c>
      <c r="O30" s="37">
        <f t="shared" si="22"/>
        <v>30450.419391932046</v>
      </c>
      <c r="P30" s="37">
        <f t="shared" si="22"/>
        <v>32947.188877999128</v>
      </c>
      <c r="Q30" s="37">
        <f t="shared" si="22"/>
        <v>33805.603247050683</v>
      </c>
      <c r="R30" s="37">
        <f t="shared" si="22"/>
        <v>34726.660457222271</v>
      </c>
      <c r="S30" s="37">
        <f t="shared" si="22"/>
        <v>34714.061716686119</v>
      </c>
    </row>
    <row r="31" spans="2:19" x14ac:dyDescent="0.25">
      <c r="B31" s="37" t="s">
        <v>133</v>
      </c>
      <c r="C31" s="37">
        <f t="shared" ref="C31:K31" si="23">C28</f>
        <v>0</v>
      </c>
      <c r="D31" s="37">
        <f t="shared" si="23"/>
        <v>-708.80499999999984</v>
      </c>
      <c r="E31" s="37">
        <f t="shared" si="23"/>
        <v>2196.3079999999995</v>
      </c>
      <c r="F31" s="37">
        <f t="shared" si="23"/>
        <v>-25.302000000001385</v>
      </c>
      <c r="G31" s="37">
        <f t="shared" si="23"/>
        <v>-1131.4899999999968</v>
      </c>
      <c r="H31" s="37">
        <f t="shared" si="23"/>
        <v>1441.3519600679967</v>
      </c>
      <c r="I31" s="37">
        <f t="shared" si="23"/>
        <v>309.86196006799884</v>
      </c>
      <c r="J31" s="37">
        <f t="shared" si="23"/>
        <v>-514.51912621876932</v>
      </c>
      <c r="K31" s="37">
        <f t="shared" si="23"/>
        <v>8504.0075028674164</v>
      </c>
      <c r="L31" s="37">
        <f t="shared" ref="L31:N31" si="24">L28</f>
        <v>7280.5867472329719</v>
      </c>
      <c r="M31" s="37">
        <f t="shared" si="24"/>
        <v>9315.0881471460871</v>
      </c>
      <c r="N31" s="37">
        <f t="shared" si="24"/>
        <v>2187.4801608363414</v>
      </c>
      <c r="O31" s="37">
        <f t="shared" ref="O31:S31" si="25">O28</f>
        <v>2496.7694860670817</v>
      </c>
      <c r="P31" s="37">
        <f t="shared" si="25"/>
        <v>858.41436905155922</v>
      </c>
      <c r="Q31" s="37">
        <f t="shared" si="25"/>
        <v>921.05721017158862</v>
      </c>
      <c r="R31" s="37">
        <f t="shared" si="25"/>
        <v>-12.598740536148625</v>
      </c>
      <c r="S31" s="37">
        <f t="shared" si="25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6">E30+E31</f>
        <v>3393.2159999999994</v>
      </c>
      <c r="F32" s="37">
        <f t="shared" si="26"/>
        <v>3367.9139999999979</v>
      </c>
      <c r="G32" s="37">
        <f t="shared" si="26"/>
        <v>2236.4240000000009</v>
      </c>
      <c r="H32" s="37">
        <f t="shared" si="26"/>
        <v>3677.7759600679974</v>
      </c>
      <c r="I32" s="37">
        <f t="shared" si="26"/>
        <v>3677.7759600679969</v>
      </c>
      <c r="J32" s="37">
        <f t="shared" si="26"/>
        <v>3163.2568338492274</v>
      </c>
      <c r="K32" s="37">
        <f t="shared" si="26"/>
        <v>11667.264336716644</v>
      </c>
      <c r="L32" s="37">
        <f t="shared" si="26"/>
        <v>18947.851083949616</v>
      </c>
      <c r="M32" s="37">
        <f t="shared" si="26"/>
        <v>28262.939231095705</v>
      </c>
      <c r="N32" s="37">
        <f t="shared" si="26"/>
        <v>30450.419391932046</v>
      </c>
      <c r="O32" s="37">
        <f t="shared" ref="O32:S32" si="27">O30+O31</f>
        <v>32947.188877999128</v>
      </c>
      <c r="P32" s="37">
        <f t="shared" si="27"/>
        <v>33805.603247050683</v>
      </c>
      <c r="Q32" s="37">
        <f t="shared" si="27"/>
        <v>34726.660457222271</v>
      </c>
      <c r="R32" s="37">
        <f t="shared" si="27"/>
        <v>34714.061716686119</v>
      </c>
      <c r="S32" s="37">
        <f t="shared" si="27"/>
        <v>34686.568058116296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outlineLevel="1" x14ac:dyDescent="0.25">
      <c r="B34" s="213" t="s">
        <v>117</v>
      </c>
      <c r="C34" s="213">
        <f>'Balance Sheet'!C5-C32</f>
        <v>0</v>
      </c>
      <c r="D34" s="213">
        <f>'Balance Sheet'!D5-D32</f>
        <v>0</v>
      </c>
      <c r="E34" s="213">
        <f>'Balance Sheet'!E5-E32</f>
        <v>0</v>
      </c>
      <c r="F34" s="213">
        <f>'Balance Sheet'!F5-F32</f>
        <v>0</v>
      </c>
      <c r="G34" s="213">
        <f>'Balance Sheet'!G5-G32</f>
        <v>0</v>
      </c>
      <c r="H34" s="213">
        <f>'Balance Sheet'!I5-H32</f>
        <v>0</v>
      </c>
      <c r="I34" s="213">
        <f>'Balance Sheet'!I5-I32</f>
        <v>0</v>
      </c>
      <c r="J34" s="213">
        <f>'Balance Sheet'!J5-J32</f>
        <v>0</v>
      </c>
      <c r="K34" s="213">
        <f>'Balance Sheet'!K5-K32</f>
        <v>0</v>
      </c>
      <c r="L34" s="213">
        <f>'Balance Sheet'!L5-L32</f>
        <v>0</v>
      </c>
      <c r="M34" s="213">
        <f>'Balance Sheet'!M5-M32</f>
        <v>0</v>
      </c>
      <c r="N34" s="213">
        <f>'Balance Sheet'!N5-N32</f>
        <v>0</v>
      </c>
      <c r="O34" s="213">
        <f>'Balance Sheet'!O5-O32</f>
        <v>0</v>
      </c>
      <c r="P34" s="213">
        <f>'Balance Sheet'!P5-P32</f>
        <v>0</v>
      </c>
      <c r="Q34" s="213">
        <f>'Balance Sheet'!Q5-Q32</f>
        <v>0</v>
      </c>
      <c r="R34" s="213">
        <f>'Balance Sheet'!R5-R32</f>
        <v>0</v>
      </c>
      <c r="S34" s="213">
        <f>'Balance Sheet'!S5-S32</f>
        <v>0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B1:S22"/>
  <sheetViews>
    <sheetView showOutlineSymbol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9.109375" defaultRowHeight="11.4" outlineLevelRow="1" x14ac:dyDescent="0.2"/>
  <cols>
    <col min="1" max="1" width="2" style="49" customWidth="1"/>
    <col min="2" max="2" width="22.6640625" style="49" customWidth="1"/>
    <col min="3" max="12" width="9.77734375" style="49" customWidth="1"/>
    <col min="13" max="18" width="9.109375" style="49"/>
    <col min="19" max="19" width="9.77734375" style="49" bestFit="1" customWidth="1"/>
    <col min="20" max="16384" width="9.109375" style="49"/>
  </cols>
  <sheetData>
    <row r="1" spans="2:19" ht="15.6" x14ac:dyDescent="0.3">
      <c r="B1" s="48" t="s">
        <v>144</v>
      </c>
    </row>
    <row r="2" spans="2:19" ht="12" thickBot="1" x14ac:dyDescent="0.25"/>
    <row r="3" spans="2:19" ht="13.2" thickTop="1" thickBot="1" x14ac:dyDescent="0.3">
      <c r="B3" s="50" t="s">
        <v>145</v>
      </c>
      <c r="C3" s="51">
        <f>Drivers!C13</f>
        <v>0.02</v>
      </c>
      <c r="D3" s="49" t="s">
        <v>76</v>
      </c>
    </row>
    <row r="4" spans="2:19" ht="12" outlineLevel="1" thickTop="1" x14ac:dyDescent="0.2">
      <c r="H4" s="49">
        <v>0.5</v>
      </c>
      <c r="J4" s="49">
        <v>1.5</v>
      </c>
      <c r="K4" s="49">
        <v>2.5</v>
      </c>
      <c r="L4" s="49">
        <v>3.5</v>
      </c>
      <c r="M4" s="49">
        <v>4.5</v>
      </c>
      <c r="N4" s="49">
        <v>5.5</v>
      </c>
      <c r="O4" s="49">
        <v>6.5</v>
      </c>
      <c r="P4" s="49">
        <v>7.5</v>
      </c>
      <c r="Q4" s="49">
        <v>8.5</v>
      </c>
      <c r="R4" s="49">
        <v>9.5</v>
      </c>
      <c r="S4" s="49">
        <v>10.5</v>
      </c>
    </row>
    <row r="5" spans="2:19" ht="28.5" customHeight="1" x14ac:dyDescent="0.25">
      <c r="B5" s="5" t="s">
        <v>259</v>
      </c>
      <c r="C5" s="6" t="s">
        <v>45</v>
      </c>
      <c r="D5" s="6" t="s">
        <v>46</v>
      </c>
      <c r="E5" s="6" t="s">
        <v>47</v>
      </c>
      <c r="F5" s="6" t="s">
        <v>164</v>
      </c>
      <c r="G5" s="6" t="s">
        <v>172</v>
      </c>
      <c r="H5" s="98" t="s">
        <v>183</v>
      </c>
      <c r="I5" s="98"/>
      <c r="J5" s="98" t="s">
        <v>184</v>
      </c>
      <c r="K5" s="98" t="s">
        <v>185</v>
      </c>
      <c r="L5" s="98" t="s">
        <v>186</v>
      </c>
      <c r="M5" s="98" t="s">
        <v>187</v>
      </c>
      <c r="N5" s="98" t="s">
        <v>188</v>
      </c>
      <c r="O5" s="98" t="s">
        <v>268</v>
      </c>
      <c r="P5" s="98" t="s">
        <v>269</v>
      </c>
      <c r="Q5" s="98" t="s">
        <v>270</v>
      </c>
      <c r="R5" s="98" t="s">
        <v>271</v>
      </c>
      <c r="S5" s="98" t="s">
        <v>272</v>
      </c>
    </row>
    <row r="6" spans="2:19" x14ac:dyDescent="0.2">
      <c r="B6" s="49" t="s">
        <v>130</v>
      </c>
      <c r="C6" s="52"/>
      <c r="D6" s="52"/>
      <c r="E6" s="52"/>
      <c r="F6" s="52"/>
      <c r="G6" s="52"/>
      <c r="H6" s="149">
        <f>'Cash Flow'!H20</f>
        <v>1841.7282100679968</v>
      </c>
      <c r="I6" s="149"/>
      <c r="J6" s="149">
        <f>'Cash Flow'!J20</f>
        <v>-735.79041346336271</v>
      </c>
      <c r="K6" s="149">
        <f>'Cash Flow'!K20</f>
        <v>9022.7749762208296</v>
      </c>
      <c r="L6" s="149">
        <f>'Cash Flow'!L20</f>
        <v>7799.3542205863851</v>
      </c>
      <c r="M6" s="149">
        <f>'Cash Flow'!M20</f>
        <v>9833.8556204995002</v>
      </c>
      <c r="N6" s="149">
        <f>'Cash Flow'!N20</f>
        <v>2706.2476341897545</v>
      </c>
      <c r="O6" s="149">
        <f>'Cash Flow'!O20</f>
        <v>3015.5369594204949</v>
      </c>
      <c r="P6" s="149">
        <f>'Cash Flow'!P20</f>
        <v>1377.1818424049725</v>
      </c>
      <c r="Q6" s="149">
        <f>'Cash Flow'!Q20</f>
        <v>1439.824683525002</v>
      </c>
      <c r="R6" s="149">
        <f>'Cash Flow'!R20</f>
        <v>506.16873281726475</v>
      </c>
      <c r="S6" s="149">
        <f>'Cash Flow'!S20</f>
        <v>491.27381478358984</v>
      </c>
    </row>
    <row r="7" spans="2:19" x14ac:dyDescent="0.2">
      <c r="B7" s="49" t="s">
        <v>280</v>
      </c>
      <c r="C7" s="52"/>
      <c r="D7" s="52"/>
      <c r="E7" s="52"/>
      <c r="F7" s="52"/>
      <c r="G7" s="52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>
        <f>S6*(1+C3)/(S9-C3)</f>
        <v>11603.611959069414</v>
      </c>
    </row>
    <row r="8" spans="2:19" x14ac:dyDescent="0.2">
      <c r="C8" s="52"/>
      <c r="D8" s="52"/>
      <c r="E8" s="52"/>
      <c r="F8" s="52"/>
      <c r="G8" s="52"/>
      <c r="H8" s="149"/>
      <c r="I8" s="149"/>
      <c r="J8" s="149"/>
      <c r="K8" s="149"/>
      <c r="L8" s="150"/>
      <c r="M8" s="150"/>
      <c r="N8" s="150"/>
      <c r="O8" s="150"/>
      <c r="P8" s="150"/>
      <c r="Q8" s="150"/>
      <c r="R8" s="150"/>
      <c r="S8" s="150"/>
    </row>
    <row r="9" spans="2:19" x14ac:dyDescent="0.2">
      <c r="B9" s="49" t="s">
        <v>146</v>
      </c>
      <c r="C9" s="52"/>
      <c r="D9" s="52"/>
      <c r="E9" s="52"/>
      <c r="F9" s="52"/>
      <c r="G9" s="52"/>
      <c r="H9" s="151">
        <f>WACC!I24</f>
        <v>5.6976983533494521E-2</v>
      </c>
      <c r="I9" s="151"/>
      <c r="J9" s="151">
        <f>WACC!J24</f>
        <v>5.7123093962021296E-2</v>
      </c>
      <c r="K9" s="151">
        <f>WACC!K24</f>
        <v>5.7458394913859255E-2</v>
      </c>
      <c r="L9" s="151">
        <f>WACC!L24</f>
        <v>5.8116602991349131E-2</v>
      </c>
      <c r="M9" s="151">
        <f>WACC!M24</f>
        <v>5.9051134153345383E-2</v>
      </c>
      <c r="N9" s="151">
        <f>WACC!N24</f>
        <v>5.992595438983965E-2</v>
      </c>
      <c r="O9" s="151">
        <f>WACC!O24</f>
        <v>6.0741400442564195E-2</v>
      </c>
      <c r="P9" s="151">
        <f>WACC!P24</f>
        <v>6.1467333379394584E-2</v>
      </c>
      <c r="Q9" s="151">
        <f>WACC!Q24</f>
        <v>6.2116508614410898E-2</v>
      </c>
      <c r="R9" s="151">
        <f>WACC!R24</f>
        <v>6.2684244445109949E-2</v>
      </c>
      <c r="S9" s="151">
        <f>WACC!S24</f>
        <v>6.3184768057294532E-2</v>
      </c>
    </row>
    <row r="10" spans="2:19" ht="12" x14ac:dyDescent="0.25">
      <c r="B10" s="57" t="s">
        <v>147</v>
      </c>
      <c r="C10" s="58"/>
      <c r="D10" s="58"/>
      <c r="E10" s="58"/>
      <c r="F10" s="58"/>
      <c r="G10" s="58"/>
      <c r="H10" s="152">
        <f>H6/(1+H9)^H4</f>
        <v>1791.400846727412</v>
      </c>
      <c r="I10" s="152"/>
      <c r="J10" s="152">
        <f>J6/(1+J9)^J4</f>
        <v>-676.9643276627869</v>
      </c>
      <c r="K10" s="152">
        <f t="shared" ref="K10:S10" si="0">K6/(1+K9)^K4</f>
        <v>7846.6070314009667</v>
      </c>
      <c r="L10" s="152">
        <f t="shared" si="0"/>
        <v>6400.1668131446468</v>
      </c>
      <c r="M10" s="152">
        <f t="shared" si="0"/>
        <v>7596.2219263632096</v>
      </c>
      <c r="N10" s="152">
        <f t="shared" si="0"/>
        <v>1964.9528619898763</v>
      </c>
      <c r="O10" s="152">
        <f t="shared" si="0"/>
        <v>2055.4304140173126</v>
      </c>
      <c r="P10" s="152">
        <f t="shared" si="0"/>
        <v>880.42332190924117</v>
      </c>
      <c r="Q10" s="152">
        <f t="shared" si="0"/>
        <v>862.67311088890597</v>
      </c>
      <c r="R10" s="152">
        <f t="shared" si="0"/>
        <v>284.08939257673927</v>
      </c>
      <c r="S10" s="152">
        <f t="shared" si="0"/>
        <v>258.18546182703142</v>
      </c>
    </row>
    <row r="11" spans="2:19" x14ac:dyDescent="0.2">
      <c r="B11" s="49" t="s">
        <v>281</v>
      </c>
      <c r="C11" s="52"/>
      <c r="D11" s="52"/>
      <c r="E11" s="52"/>
      <c r="F11" s="52"/>
      <c r="G11" s="52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49">
        <f>S7/(1+S9)^S4</f>
        <v>6098.195797049987</v>
      </c>
    </row>
    <row r="13" spans="2:19" ht="12" x14ac:dyDescent="0.25">
      <c r="B13" s="219" t="s">
        <v>148</v>
      </c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19" x14ac:dyDescent="0.2">
      <c r="B14" s="49" t="s">
        <v>149</v>
      </c>
      <c r="E14" s="54"/>
      <c r="F14" s="54">
        <f>SUM(H10:S10)</f>
        <v>29263.186853182557</v>
      </c>
      <c r="G14" s="60"/>
    </row>
    <row r="15" spans="2:19" x14ac:dyDescent="0.2">
      <c r="B15" s="49" t="s">
        <v>150</v>
      </c>
      <c r="E15" s="54"/>
      <c r="F15" s="54">
        <f>S7</f>
        <v>11603.611959069414</v>
      </c>
    </row>
    <row r="16" spans="2:19" x14ac:dyDescent="0.2">
      <c r="B16" s="49" t="s">
        <v>151</v>
      </c>
      <c r="E16" s="54"/>
      <c r="F16" s="54">
        <f>S11</f>
        <v>6098.195797049987</v>
      </c>
      <c r="G16" s="60"/>
    </row>
    <row r="17" spans="2:7" ht="12" x14ac:dyDescent="0.25">
      <c r="B17" s="53" t="s">
        <v>152</v>
      </c>
      <c r="C17" s="53"/>
      <c r="D17" s="53"/>
      <c r="E17" s="55"/>
      <c r="F17" s="55">
        <f>F14+F16</f>
        <v>35361.382650232546</v>
      </c>
    </row>
    <row r="18" spans="2:7" x14ac:dyDescent="0.2">
      <c r="B18" s="56" t="s">
        <v>153</v>
      </c>
      <c r="E18" s="54"/>
      <c r="F18" s="54">
        <f>'Balance Sheet'!G5</f>
        <v>2236.424</v>
      </c>
      <c r="G18" s="54"/>
    </row>
    <row r="19" spans="2:7" x14ac:dyDescent="0.2">
      <c r="B19" s="56" t="s">
        <v>154</v>
      </c>
      <c r="E19" s="54"/>
      <c r="F19" s="54">
        <f>-'Balance Sheet'!G28</f>
        <v>-11616.575000000001</v>
      </c>
    </row>
    <row r="20" spans="2:7" ht="12" x14ac:dyDescent="0.25">
      <c r="B20" s="53" t="s">
        <v>155</v>
      </c>
      <c r="C20" s="53"/>
      <c r="D20" s="53"/>
      <c r="E20" s="55"/>
      <c r="F20" s="55">
        <f>SUM(F17:F19)</f>
        <v>25981.231650232545</v>
      </c>
    </row>
    <row r="21" spans="2:7" x14ac:dyDescent="0.2">
      <c r="B21" s="49" t="s">
        <v>159</v>
      </c>
      <c r="F21" s="54">
        <v>168.07</v>
      </c>
    </row>
    <row r="22" spans="2:7" ht="12" x14ac:dyDescent="0.25">
      <c r="B22" s="61" t="s">
        <v>160</v>
      </c>
      <c r="C22" s="61"/>
      <c r="D22" s="61"/>
      <c r="E22" s="61"/>
      <c r="F22" s="61">
        <f>F20/F21</f>
        <v>154.58577765355236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165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164</v>
      </c>
      <c r="G3" s="98" t="s">
        <v>172</v>
      </c>
    </row>
    <row r="4" spans="2:7" x14ac:dyDescent="0.25">
      <c r="B4" s="7" t="s">
        <v>80</v>
      </c>
      <c r="C4" s="71">
        <v>3007012</v>
      </c>
      <c r="D4" s="71">
        <v>3740973</v>
      </c>
      <c r="E4" s="71">
        <v>6350766</v>
      </c>
      <c r="F4" s="71">
        <v>9641300</v>
      </c>
      <c r="G4" s="72">
        <v>6092998</v>
      </c>
    </row>
    <row r="5" spans="2:7" x14ac:dyDescent="0.25">
      <c r="B5" s="8" t="s">
        <v>3</v>
      </c>
      <c r="C5" s="73">
        <v>4208</v>
      </c>
      <c r="D5" s="73">
        <v>14477</v>
      </c>
      <c r="E5" s="73">
        <v>181394</v>
      </c>
      <c r="F5" s="73">
        <v>1116266</v>
      </c>
      <c r="G5" s="74">
        <v>784430</v>
      </c>
    </row>
    <row r="6" spans="2:7" x14ac:dyDescent="0.25">
      <c r="B6" s="8" t="s">
        <v>2</v>
      </c>
      <c r="C6" s="73">
        <v>187136</v>
      </c>
      <c r="D6" s="73">
        <v>290575</v>
      </c>
      <c r="E6" s="73">
        <v>467972</v>
      </c>
      <c r="F6" s="73">
        <v>1001185</v>
      </c>
      <c r="G6" s="74">
        <v>533554</v>
      </c>
    </row>
    <row r="7" spans="2:7" x14ac:dyDescent="0.25">
      <c r="B7" s="9" t="s">
        <v>0</v>
      </c>
      <c r="C7" s="75">
        <f>SUM(C4:C6)</f>
        <v>3198356</v>
      </c>
      <c r="D7" s="75">
        <f>SUM(D4:D6)</f>
        <v>4046025</v>
      </c>
      <c r="E7" s="75">
        <f>SUM(E4:E6)</f>
        <v>7000132</v>
      </c>
      <c r="F7" s="75">
        <f>SUM(F4:F6)</f>
        <v>11758751</v>
      </c>
      <c r="G7" s="76">
        <f>SUM(G4:G6)</f>
        <v>7410982</v>
      </c>
    </row>
    <row r="8" spans="2:7" x14ac:dyDescent="0.25">
      <c r="B8" s="8" t="s">
        <v>42</v>
      </c>
      <c r="C8" s="73">
        <v>-2145749</v>
      </c>
      <c r="D8" s="73">
        <v>-2823302</v>
      </c>
      <c r="E8" s="73">
        <v>-4750081</v>
      </c>
      <c r="F8" s="73">
        <v>-7432704</v>
      </c>
      <c r="G8" s="74">
        <v>-4862547</v>
      </c>
    </row>
    <row r="9" spans="2:7" x14ac:dyDescent="0.25">
      <c r="B9" s="8" t="s">
        <v>40</v>
      </c>
      <c r="C9" s="73">
        <v>-4005</v>
      </c>
      <c r="D9" s="73">
        <v>-12287</v>
      </c>
      <c r="E9" s="73">
        <v>-178332</v>
      </c>
      <c r="F9" s="73">
        <v>-874538</v>
      </c>
      <c r="G9" s="74">
        <v>-705636</v>
      </c>
    </row>
    <row r="10" spans="2:7" x14ac:dyDescent="0.25">
      <c r="B10" s="8" t="s">
        <v>41</v>
      </c>
      <c r="C10" s="73">
        <v>-166931</v>
      </c>
      <c r="D10" s="73">
        <v>-286933</v>
      </c>
      <c r="E10" s="73">
        <v>-472462</v>
      </c>
      <c r="F10" s="73">
        <v>-1229022</v>
      </c>
      <c r="G10" s="74">
        <v>-767343</v>
      </c>
    </row>
    <row r="11" spans="2:7" x14ac:dyDescent="0.25">
      <c r="B11" s="9" t="s">
        <v>1</v>
      </c>
      <c r="C11" s="75">
        <f>SUM(C7:C10)</f>
        <v>881671</v>
      </c>
      <c r="D11" s="75">
        <f>SUM(D7:D10)</f>
        <v>923503</v>
      </c>
      <c r="E11" s="75">
        <f>SUM(E7:E10)</f>
        <v>1599257</v>
      </c>
      <c r="F11" s="75">
        <f>SUM(F7:F10)</f>
        <v>2222487</v>
      </c>
      <c r="G11" s="76">
        <f>SUM(G7:G10)</f>
        <v>1075456</v>
      </c>
    </row>
    <row r="12" spans="2:7" x14ac:dyDescent="0.25">
      <c r="B12" s="8" t="s">
        <v>4</v>
      </c>
      <c r="C12" s="73">
        <v>-464700</v>
      </c>
      <c r="D12" s="73">
        <v>-717900</v>
      </c>
      <c r="E12" s="73">
        <v>-834408</v>
      </c>
      <c r="F12" s="73">
        <v>-1378073</v>
      </c>
      <c r="G12" s="74">
        <v>-753225</v>
      </c>
    </row>
    <row r="13" spans="2:7" x14ac:dyDescent="0.25">
      <c r="B13" s="8" t="s">
        <v>33</v>
      </c>
      <c r="C13" s="73">
        <v>-603660</v>
      </c>
      <c r="D13" s="73">
        <v>-922232</v>
      </c>
      <c r="E13" s="73">
        <v>-1432189</v>
      </c>
      <c r="F13" s="73">
        <v>-2476500</v>
      </c>
      <c r="G13" s="74">
        <v>-1437163</v>
      </c>
    </row>
    <row r="14" spans="2:7" x14ac:dyDescent="0.25">
      <c r="B14" s="8" t="s">
        <v>169</v>
      </c>
      <c r="C14" s="73"/>
      <c r="D14" s="73"/>
      <c r="E14" s="73"/>
      <c r="F14" s="73"/>
      <c r="G14" s="74">
        <v>-103434</v>
      </c>
    </row>
    <row r="15" spans="2:7" x14ac:dyDescent="0.25">
      <c r="B15" s="9" t="s">
        <v>43</v>
      </c>
      <c r="C15" s="75">
        <f t="shared" ref="C15:F15" si="0">SUM(C11:C14)</f>
        <v>-186689</v>
      </c>
      <c r="D15" s="75">
        <f t="shared" si="0"/>
        <v>-716629</v>
      </c>
      <c r="E15" s="75">
        <f t="shared" si="0"/>
        <v>-667340</v>
      </c>
      <c r="F15" s="75">
        <f t="shared" si="0"/>
        <v>-1632086</v>
      </c>
      <c r="G15" s="76">
        <f>SUM(G11:G14)</f>
        <v>-1218366</v>
      </c>
    </row>
    <row r="16" spans="2:7" x14ac:dyDescent="0.25">
      <c r="B16" s="8" t="s">
        <v>34</v>
      </c>
      <c r="C16" s="73">
        <v>1126</v>
      </c>
      <c r="D16" s="73">
        <v>1508</v>
      </c>
      <c r="E16" s="73">
        <v>8530</v>
      </c>
      <c r="F16" s="73">
        <v>19686</v>
      </c>
      <c r="G16" s="74">
        <v>10278</v>
      </c>
    </row>
    <row r="17" spans="2:7" x14ac:dyDescent="0.25">
      <c r="B17" s="8" t="s">
        <v>5</v>
      </c>
      <c r="C17" s="73">
        <v>-100886</v>
      </c>
      <c r="D17" s="73">
        <v>-118851</v>
      </c>
      <c r="E17" s="73">
        <v>-198810</v>
      </c>
      <c r="F17" s="73">
        <v>-471259</v>
      </c>
      <c r="G17" s="74">
        <v>-313128</v>
      </c>
    </row>
    <row r="18" spans="2:7" x14ac:dyDescent="0.25">
      <c r="B18" s="8" t="s">
        <v>35</v>
      </c>
      <c r="C18" s="73">
        <v>1813</v>
      </c>
      <c r="D18" s="73">
        <v>-41652</v>
      </c>
      <c r="E18" s="73">
        <v>111272</v>
      </c>
      <c r="F18" s="73">
        <v>-125373</v>
      </c>
      <c r="G18" s="74">
        <v>13195</v>
      </c>
    </row>
    <row r="19" spans="2:7" x14ac:dyDescent="0.25">
      <c r="B19" s="9" t="s">
        <v>44</v>
      </c>
      <c r="C19" s="75">
        <f>SUM(C15:C18)</f>
        <v>-284636</v>
      </c>
      <c r="D19" s="75">
        <f>SUM(D15:D18)</f>
        <v>-875624</v>
      </c>
      <c r="E19" s="75">
        <f>SUM(E15:E18)</f>
        <v>-746348</v>
      </c>
      <c r="F19" s="75">
        <f>SUM(F15:F18)</f>
        <v>-2209032</v>
      </c>
      <c r="G19" s="76">
        <f>SUM(G15:G18)</f>
        <v>-1508021</v>
      </c>
    </row>
    <row r="20" spans="2:7" x14ac:dyDescent="0.25">
      <c r="B20" s="8" t="s">
        <v>6</v>
      </c>
      <c r="C20" s="73">
        <v>-9404</v>
      </c>
      <c r="D20" s="73">
        <v>-13039</v>
      </c>
      <c r="E20" s="73">
        <v>-26698</v>
      </c>
      <c r="F20" s="73">
        <v>-31546</v>
      </c>
      <c r="G20" s="74">
        <v>-19312</v>
      </c>
    </row>
    <row r="21" spans="2:7" x14ac:dyDescent="0.25">
      <c r="B21" s="9" t="s">
        <v>58</v>
      </c>
      <c r="C21" s="75">
        <f>SUM(C19:C20)</f>
        <v>-294040</v>
      </c>
      <c r="D21" s="75">
        <f>SUM(D19:D20)</f>
        <v>-888663</v>
      </c>
      <c r="E21" s="75">
        <f>SUM(E19:E20)</f>
        <v>-773046</v>
      </c>
      <c r="F21" s="75">
        <f>SUM(F19:F20)</f>
        <v>-2240578</v>
      </c>
      <c r="G21" s="76">
        <f>SUM(G19:G20)</f>
        <v>-1527333</v>
      </c>
    </row>
    <row r="22" spans="2:7" s="3" customFormat="1" x14ac:dyDescent="0.25">
      <c r="B22" s="8" t="s">
        <v>59</v>
      </c>
      <c r="C22" s="73">
        <v>0</v>
      </c>
      <c r="D22" s="73">
        <v>0</v>
      </c>
      <c r="E22" s="73">
        <v>98132</v>
      </c>
      <c r="F22" s="73">
        <v>279178</v>
      </c>
      <c r="G22" s="74">
        <v>100243</v>
      </c>
    </row>
    <row r="23" spans="2:7" s="3" customFormat="1" ht="13.8" thickBot="1" x14ac:dyDescent="0.3">
      <c r="B23" s="10" t="s">
        <v>36</v>
      </c>
      <c r="C23" s="77">
        <f>SUM(C21:C22)</f>
        <v>-294040</v>
      </c>
      <c r="D23" s="77">
        <f>SUM(D21:D22)</f>
        <v>-888663</v>
      </c>
      <c r="E23" s="77">
        <f>SUM(E21:E22)</f>
        <v>-674914</v>
      </c>
      <c r="F23" s="77">
        <f>SUM(F21:F22)</f>
        <v>-1961400</v>
      </c>
      <c r="G23" s="78">
        <f>SUM(G21:G22)</f>
        <v>-1427090</v>
      </c>
    </row>
    <row r="25" spans="2:7" x14ac:dyDescent="0.2">
      <c r="B25" s="70" t="s">
        <v>170</v>
      </c>
      <c r="C25" s="69"/>
      <c r="D25" s="69"/>
      <c r="E25" s="69"/>
      <c r="F25" s="69"/>
      <c r="G25" s="69"/>
    </row>
    <row r="26" spans="2:7" x14ac:dyDescent="0.2">
      <c r="B26" s="69" t="s">
        <v>299</v>
      </c>
      <c r="C26" s="79"/>
      <c r="D26" s="79">
        <f t="shared" ref="D26:F28" si="1">D4/C4-1</f>
        <v>0.2440831629537894</v>
      </c>
      <c r="E26" s="79">
        <f t="shared" si="1"/>
        <v>0.69762412078355007</v>
      </c>
      <c r="F26" s="79">
        <f t="shared" si="1"/>
        <v>0.51813182850698647</v>
      </c>
      <c r="G26" s="79"/>
    </row>
    <row r="27" spans="2:7" x14ac:dyDescent="0.2">
      <c r="B27" s="69" t="s">
        <v>300</v>
      </c>
      <c r="C27" s="79"/>
      <c r="D27" s="79">
        <f t="shared" si="1"/>
        <v>2.440351711026616</v>
      </c>
      <c r="E27" s="79">
        <f t="shared" si="1"/>
        <v>11.529805899012226</v>
      </c>
      <c r="F27" s="79">
        <f t="shared" si="1"/>
        <v>5.1538198617374338</v>
      </c>
      <c r="G27" s="79"/>
    </row>
    <row r="28" spans="2:7" x14ac:dyDescent="0.2">
      <c r="B28" s="69" t="s">
        <v>301</v>
      </c>
      <c r="C28" s="79"/>
      <c r="D28" s="79">
        <f t="shared" si="1"/>
        <v>0.55274773426812596</v>
      </c>
      <c r="E28" s="79">
        <f t="shared" si="1"/>
        <v>0.61050331239783184</v>
      </c>
      <c r="F28" s="79">
        <f t="shared" si="1"/>
        <v>1.1394121870539262</v>
      </c>
      <c r="G28" s="79"/>
    </row>
    <row r="29" spans="2:7" x14ac:dyDescent="0.2">
      <c r="B29" s="69" t="s">
        <v>60</v>
      </c>
      <c r="C29" s="79">
        <f>(C4+C8)/C4</f>
        <v>0.28641821183287597</v>
      </c>
      <c r="D29" s="79">
        <f t="shared" ref="D29:G29" si="2">(D4+D8)/D4</f>
        <v>0.24530275946926108</v>
      </c>
      <c r="E29" s="79">
        <f t="shared" si="2"/>
        <v>0.2520459736667986</v>
      </c>
      <c r="F29" s="79">
        <f t="shared" si="2"/>
        <v>0.2290765768101812</v>
      </c>
      <c r="G29" s="79">
        <f t="shared" si="2"/>
        <v>0.20194508516168888</v>
      </c>
    </row>
    <row r="30" spans="2:7" x14ac:dyDescent="0.2">
      <c r="B30" s="69" t="s">
        <v>61</v>
      </c>
      <c r="C30" s="79">
        <f t="shared" ref="C30:G30" si="3">(C5+C9)/C5</f>
        <v>4.8241444866920155E-2</v>
      </c>
      <c r="D30" s="79">
        <f t="shared" si="3"/>
        <v>0.15127443531118326</v>
      </c>
      <c r="E30" s="79">
        <f t="shared" si="3"/>
        <v>1.688038193104513E-2</v>
      </c>
      <c r="F30" s="79">
        <f t="shared" si="3"/>
        <v>0.21655053544585251</v>
      </c>
      <c r="G30" s="79">
        <f t="shared" si="3"/>
        <v>0.10044745866425303</v>
      </c>
    </row>
    <row r="31" spans="2:7" x14ac:dyDescent="0.2">
      <c r="B31" s="69" t="s">
        <v>62</v>
      </c>
      <c r="C31" s="79">
        <f t="shared" ref="C31:G31" si="4">(C6+C10)/C6</f>
        <v>0.10796960499316005</v>
      </c>
      <c r="D31" s="79">
        <f t="shared" si="4"/>
        <v>1.2533769250623763E-2</v>
      </c>
      <c r="E31" s="79">
        <f t="shared" si="4"/>
        <v>-9.5945911293838088E-3</v>
      </c>
      <c r="F31" s="79">
        <f t="shared" si="4"/>
        <v>-0.22756733271073779</v>
      </c>
      <c r="G31" s="79">
        <f t="shared" si="4"/>
        <v>-0.43817308088778267</v>
      </c>
    </row>
    <row r="32" spans="2:7" x14ac:dyDescent="0.2">
      <c r="B32" s="69" t="s">
        <v>63</v>
      </c>
      <c r="C32" s="79">
        <f>(SUM(C4:C6)+SUM(C8:C10))/SUM(C4:C6)</f>
        <v>0.27566380978227567</v>
      </c>
      <c r="D32" s="79">
        <f>(SUM(D4:D6)+SUM(D8:D10))/SUM(D4:D6)</f>
        <v>0.22824945471172323</v>
      </c>
      <c r="E32" s="79">
        <f>(SUM(E4:E6)+SUM(E8:E10))/SUM(E4:E6)</f>
        <v>0.22846097759299397</v>
      </c>
      <c r="F32" s="79">
        <f>(SUM(F4:F6)+SUM(F8:F10))/SUM(F4:F6)</f>
        <v>0.18900706376042831</v>
      </c>
      <c r="G32" s="79">
        <f>(SUM(G4:G6)+SUM(G8:G10))/SUM(G4:G6)</f>
        <v>0.14511653111557957</v>
      </c>
    </row>
    <row r="33" spans="2:7" x14ac:dyDescent="0.2">
      <c r="B33" s="69" t="s">
        <v>57</v>
      </c>
      <c r="C33" s="79">
        <f>C15/C7</f>
        <v>-5.8370300241749197E-2</v>
      </c>
      <c r="D33" s="79">
        <f t="shared" ref="D33:G33" si="5">D15/D7</f>
        <v>-0.17711927138364197</v>
      </c>
      <c r="E33" s="79">
        <f t="shared" si="5"/>
        <v>-9.533248801594027E-2</v>
      </c>
      <c r="F33" s="79">
        <f t="shared" si="5"/>
        <v>-0.13879756446921956</v>
      </c>
      <c r="G33" s="79">
        <f t="shared" si="5"/>
        <v>-0.16440007545558741</v>
      </c>
    </row>
    <row r="34" spans="2:7" x14ac:dyDescent="0.2">
      <c r="B34" s="69" t="s">
        <v>64</v>
      </c>
      <c r="C34" s="79">
        <f>C23/C7</f>
        <v>-9.1934731468291842E-2</v>
      </c>
      <c r="D34" s="79">
        <f t="shared" ref="D34:G34" si="6">D23/D7</f>
        <v>-0.21963853411681836</v>
      </c>
      <c r="E34" s="79">
        <f t="shared" si="6"/>
        <v>-9.6414467612896446E-2</v>
      </c>
      <c r="F34" s="79">
        <f t="shared" si="6"/>
        <v>-0.16680343005817538</v>
      </c>
      <c r="G34" s="79">
        <f t="shared" si="6"/>
        <v>-0.19256422428228809</v>
      </c>
    </row>
    <row r="35" spans="2:7" x14ac:dyDescent="0.2">
      <c r="B35" s="69" t="s">
        <v>55</v>
      </c>
      <c r="C35" s="79">
        <f>C23/'Balance Sheet Input'!C17</f>
        <v>-5.0429907933346216E-2</v>
      </c>
      <c r="D35" s="79">
        <f>D23/'Balance Sheet Input'!D17</f>
        <v>-0.11014746145205113</v>
      </c>
      <c r="E35" s="79">
        <f>E23/'Balance Sheet Input'!E17</f>
        <v>-2.9779021214012873E-2</v>
      </c>
      <c r="F35" s="79">
        <f>F23/'Balance Sheet Input'!F17</f>
        <v>-6.8447898704647764E-2</v>
      </c>
      <c r="G35" s="79">
        <f>G23/'Balance Sheet Input'!G17</f>
        <v>-5.1131852382658542E-2</v>
      </c>
    </row>
    <row r="36" spans="2:7" x14ac:dyDescent="0.2">
      <c r="B36" s="69" t="s">
        <v>56</v>
      </c>
      <c r="C36" s="79">
        <f>C23/'Balance Sheet Input'!C31</f>
        <v>-0.32251483476105341</v>
      </c>
      <c r="D36" s="79">
        <f>D23/'Balance Sheet Input'!D31</f>
        <v>-0.82002373341798129</v>
      </c>
      <c r="E36" s="79">
        <f>E23/'Balance Sheet Input'!E31</f>
        <v>-0.1420001342335255</v>
      </c>
      <c r="F36" s="79">
        <f>F23/'Balance Sheet Input'!F31</f>
        <v>-0.46289544000555077</v>
      </c>
      <c r="G36" s="79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167</v>
      </c>
    </row>
    <row r="3" spans="2:7" ht="24" x14ac:dyDescent="0.25">
      <c r="B3" s="5" t="s">
        <v>37</v>
      </c>
      <c r="C3" s="62" t="s">
        <v>48</v>
      </c>
      <c r="D3" s="62" t="s">
        <v>49</v>
      </c>
      <c r="E3" s="62" t="s">
        <v>50</v>
      </c>
      <c r="F3" s="62" t="s">
        <v>166</v>
      </c>
      <c r="G3" s="65" t="s">
        <v>168</v>
      </c>
    </row>
    <row r="4" spans="2:7" x14ac:dyDescent="0.25">
      <c r="B4" s="8" t="s">
        <v>7</v>
      </c>
      <c r="C4" s="80">
        <v>1905713</v>
      </c>
      <c r="D4" s="80">
        <v>1196908</v>
      </c>
      <c r="E4" s="80">
        <v>3393216</v>
      </c>
      <c r="F4" s="80">
        <v>3367914</v>
      </c>
      <c r="G4" s="81">
        <v>2236424</v>
      </c>
    </row>
    <row r="5" spans="2:7" x14ac:dyDescent="0.25">
      <c r="B5" s="8" t="s">
        <v>39</v>
      </c>
      <c r="C5" s="80">
        <v>17947</v>
      </c>
      <c r="D5" s="80">
        <v>22628</v>
      </c>
      <c r="E5" s="80">
        <v>105519</v>
      </c>
      <c r="F5" s="80">
        <v>155323</v>
      </c>
      <c r="G5" s="81">
        <v>146822</v>
      </c>
    </row>
    <row r="6" spans="2:7" x14ac:dyDescent="0.25">
      <c r="B6" s="8" t="s">
        <v>8</v>
      </c>
      <c r="C6" s="80">
        <v>226604</v>
      </c>
      <c r="D6" s="80">
        <v>168965</v>
      </c>
      <c r="E6" s="80">
        <v>499142</v>
      </c>
      <c r="F6" s="80">
        <v>515381</v>
      </c>
      <c r="G6" s="81">
        <v>569874</v>
      </c>
    </row>
    <row r="7" spans="2:7" x14ac:dyDescent="0.25">
      <c r="B7" s="8" t="s">
        <v>9</v>
      </c>
      <c r="C7" s="80">
        <v>953675</v>
      </c>
      <c r="D7" s="80">
        <v>1277838</v>
      </c>
      <c r="E7" s="80">
        <v>2067454</v>
      </c>
      <c r="F7" s="80">
        <v>2263537</v>
      </c>
      <c r="G7" s="81">
        <v>3324643</v>
      </c>
    </row>
    <row r="8" spans="2:7" x14ac:dyDescent="0.25">
      <c r="B8" s="8" t="s">
        <v>10</v>
      </c>
      <c r="C8" s="80">
        <v>76134</v>
      </c>
      <c r="D8" s="80">
        <v>115667</v>
      </c>
      <c r="E8" s="80">
        <v>194465</v>
      </c>
      <c r="F8" s="80">
        <v>268365</v>
      </c>
      <c r="G8" s="81">
        <v>422034</v>
      </c>
    </row>
    <row r="9" spans="2:7" ht="12" x14ac:dyDescent="0.25">
      <c r="B9" s="9" t="s">
        <v>11</v>
      </c>
      <c r="C9" s="82">
        <f>SUM(C4:C8)</f>
        <v>3180073</v>
      </c>
      <c r="D9" s="82">
        <f>SUM(D4:D8)</f>
        <v>2782006</v>
      </c>
      <c r="E9" s="82">
        <f>SUM(E4:E8)</f>
        <v>6259796</v>
      </c>
      <c r="F9" s="82">
        <f>SUM(F4:F8)</f>
        <v>6570520</v>
      </c>
      <c r="G9" s="83">
        <f>SUM(G4:G8)</f>
        <v>6699797</v>
      </c>
    </row>
    <row r="10" spans="2:7" x14ac:dyDescent="0.25">
      <c r="B10" s="8" t="s">
        <v>12</v>
      </c>
      <c r="C10" s="80">
        <v>766744</v>
      </c>
      <c r="D10" s="80">
        <v>1791403</v>
      </c>
      <c r="E10" s="80">
        <v>3134080</v>
      </c>
      <c r="F10" s="80">
        <v>4116604</v>
      </c>
      <c r="G10" s="81">
        <v>2282047</v>
      </c>
    </row>
    <row r="11" spans="2:7" x14ac:dyDescent="0.25">
      <c r="B11" s="8" t="s">
        <v>13</v>
      </c>
      <c r="C11" s="80">
        <v>0</v>
      </c>
      <c r="D11" s="80">
        <v>0</v>
      </c>
      <c r="E11" s="80">
        <v>5919880</v>
      </c>
      <c r="F11" s="80">
        <v>6347490</v>
      </c>
      <c r="G11" s="81">
        <v>6340031</v>
      </c>
    </row>
    <row r="12" spans="2:7" x14ac:dyDescent="0.25">
      <c r="B12" s="8" t="s">
        <v>14</v>
      </c>
      <c r="C12" s="80">
        <v>1829267</v>
      </c>
      <c r="D12" s="80">
        <v>3403334</v>
      </c>
      <c r="E12" s="80">
        <v>5982957</v>
      </c>
      <c r="F12" s="80">
        <v>10027522</v>
      </c>
      <c r="G12" s="81">
        <v>10969348</v>
      </c>
    </row>
    <row r="13" spans="2:7" x14ac:dyDescent="0.25">
      <c r="B13" s="8" t="s">
        <v>15</v>
      </c>
      <c r="C13" s="80">
        <v>0</v>
      </c>
      <c r="D13" s="80">
        <v>12816</v>
      </c>
      <c r="E13" s="80">
        <v>376145</v>
      </c>
      <c r="F13" s="80">
        <v>361502</v>
      </c>
      <c r="G13" s="81">
        <v>364690</v>
      </c>
    </row>
    <row r="14" spans="2:7" x14ac:dyDescent="0.25">
      <c r="B14" s="8" t="s">
        <v>16</v>
      </c>
      <c r="C14" s="80">
        <v>0</v>
      </c>
      <c r="D14" s="80">
        <v>0</v>
      </c>
      <c r="E14" s="80">
        <v>506302</v>
      </c>
      <c r="F14" s="80">
        <f>456652+60237</f>
        <v>516889</v>
      </c>
      <c r="G14" s="81">
        <v>434841</v>
      </c>
    </row>
    <row r="15" spans="2:7" x14ac:dyDescent="0.25">
      <c r="B15" s="8" t="s">
        <v>17</v>
      </c>
      <c r="C15" s="80">
        <v>11374</v>
      </c>
      <c r="D15" s="80">
        <v>31522</v>
      </c>
      <c r="E15" s="80">
        <v>268165</v>
      </c>
      <c r="F15" s="80">
        <v>441722</v>
      </c>
      <c r="G15" s="81">
        <v>399992</v>
      </c>
    </row>
    <row r="16" spans="2:7" x14ac:dyDescent="0.25">
      <c r="B16" s="8" t="s">
        <v>18</v>
      </c>
      <c r="C16" s="80">
        <v>43209</v>
      </c>
      <c r="D16" s="80">
        <v>46858</v>
      </c>
      <c r="E16" s="80">
        <v>216751</v>
      </c>
      <c r="F16" s="80">
        <v>273123</v>
      </c>
      <c r="G16" s="81">
        <v>419254</v>
      </c>
    </row>
    <row r="17" spans="2:7" ht="12.6" thickBot="1" x14ac:dyDescent="0.3">
      <c r="B17" s="10" t="s">
        <v>19</v>
      </c>
      <c r="C17" s="84">
        <f t="shared" ref="C17:E17" si="0">SUM(C9:C16)</f>
        <v>5830667</v>
      </c>
      <c r="D17" s="84">
        <f t="shared" si="0"/>
        <v>8067939</v>
      </c>
      <c r="E17" s="84">
        <f t="shared" si="0"/>
        <v>22664076</v>
      </c>
      <c r="F17" s="84">
        <f>SUM(F9:F16)</f>
        <v>28655372</v>
      </c>
      <c r="G17" s="85">
        <f>SUM(G9:G16)</f>
        <v>27910000</v>
      </c>
    </row>
    <row r="18" spans="2:7" x14ac:dyDescent="0.25">
      <c r="B18" s="8" t="s">
        <v>20</v>
      </c>
      <c r="C18" s="80">
        <v>777946</v>
      </c>
      <c r="D18" s="80">
        <v>916148</v>
      </c>
      <c r="E18" s="80">
        <v>1860341</v>
      </c>
      <c r="F18" s="80">
        <v>2390250</v>
      </c>
      <c r="G18" s="81">
        <v>3030493</v>
      </c>
    </row>
    <row r="19" spans="2:7" x14ac:dyDescent="0.25">
      <c r="B19" s="8" t="s">
        <v>38</v>
      </c>
      <c r="C19" s="80">
        <v>268883</v>
      </c>
      <c r="D19" s="80">
        <v>422798</v>
      </c>
      <c r="E19" s="80">
        <v>1210028</v>
      </c>
      <c r="F19" s="80">
        <v>1731366</v>
      </c>
      <c r="G19" s="81">
        <v>1814979</v>
      </c>
    </row>
    <row r="20" spans="2:7" x14ac:dyDescent="0.25">
      <c r="B20" s="8" t="s">
        <v>21</v>
      </c>
      <c r="C20" s="80">
        <v>191651</v>
      </c>
      <c r="D20" s="80">
        <v>423961</v>
      </c>
      <c r="E20" s="80">
        <v>763126</v>
      </c>
      <c r="F20" s="80">
        <v>1015253</v>
      </c>
      <c r="G20" s="81">
        <v>576321</v>
      </c>
    </row>
    <row r="21" spans="2:7" x14ac:dyDescent="0.25">
      <c r="B21" s="8" t="s">
        <v>22</v>
      </c>
      <c r="C21" s="80">
        <v>0</v>
      </c>
      <c r="D21" s="80">
        <v>136831</v>
      </c>
      <c r="E21" s="80">
        <v>179504</v>
      </c>
      <c r="F21" s="80">
        <v>787333</v>
      </c>
      <c r="G21" s="81">
        <v>674255</v>
      </c>
    </row>
    <row r="22" spans="2:7" x14ac:dyDescent="0.25">
      <c r="B22" s="8" t="s">
        <v>23</v>
      </c>
      <c r="C22" s="80">
        <v>257587</v>
      </c>
      <c r="D22" s="80">
        <v>283370</v>
      </c>
      <c r="E22" s="80">
        <v>663859</v>
      </c>
      <c r="F22" s="80">
        <v>853919</v>
      </c>
      <c r="G22" s="81">
        <v>942129</v>
      </c>
    </row>
    <row r="23" spans="2:7" x14ac:dyDescent="0.25">
      <c r="B23" s="8" t="s">
        <v>24</v>
      </c>
      <c r="C23" s="80">
        <v>611099</v>
      </c>
      <c r="D23" s="80">
        <v>627927</v>
      </c>
      <c r="E23" s="80">
        <v>984211</v>
      </c>
      <c r="F23" s="80">
        <v>796549</v>
      </c>
      <c r="G23" s="81">
        <v>2103185</v>
      </c>
    </row>
    <row r="24" spans="2:7" x14ac:dyDescent="0.25">
      <c r="B24" s="8" t="s">
        <v>25</v>
      </c>
      <c r="C24" s="80">
        <v>0</v>
      </c>
      <c r="D24" s="80"/>
      <c r="E24" s="80"/>
      <c r="F24" s="73"/>
      <c r="G24" s="74"/>
    </row>
    <row r="25" spans="2:7" x14ac:dyDescent="0.25">
      <c r="B25" s="8" t="s">
        <v>26</v>
      </c>
      <c r="C25" s="80">
        <v>0</v>
      </c>
      <c r="D25" s="80">
        <v>0</v>
      </c>
      <c r="E25" s="80">
        <v>165936</v>
      </c>
      <c r="F25" s="80">
        <v>100000</v>
      </c>
      <c r="G25" s="81">
        <v>0</v>
      </c>
    </row>
    <row r="26" spans="2:7" ht="12" x14ac:dyDescent="0.25">
      <c r="B26" s="9" t="s">
        <v>27</v>
      </c>
      <c r="C26" s="82">
        <v>2107166</v>
      </c>
      <c r="D26" s="82">
        <v>2811035</v>
      </c>
      <c r="E26" s="82">
        <v>5827005</v>
      </c>
      <c r="F26" s="82">
        <f>SUM(F18:F25)</f>
        <v>7674670</v>
      </c>
      <c r="G26" s="83">
        <f>SUM(G18:G25)</f>
        <v>9141362</v>
      </c>
    </row>
    <row r="27" spans="2:7" x14ac:dyDescent="0.25">
      <c r="B27" s="8" t="s">
        <v>28</v>
      </c>
      <c r="C27" s="80"/>
      <c r="D27" s="80"/>
      <c r="E27" s="80"/>
      <c r="F27" s="80"/>
      <c r="G27" s="81"/>
    </row>
    <row r="28" spans="2:7" x14ac:dyDescent="0.25">
      <c r="B28" s="8" t="s">
        <v>16</v>
      </c>
      <c r="C28" s="80">
        <v>1818785</v>
      </c>
      <c r="D28" s="80">
        <v>2021093</v>
      </c>
      <c r="E28" s="80">
        <v>5860049</v>
      </c>
      <c r="F28" s="80">
        <v>9415700</v>
      </c>
      <c r="G28" s="81">
        <v>9513390</v>
      </c>
    </row>
    <row r="29" spans="2:7" x14ac:dyDescent="0.25">
      <c r="B29" s="8" t="s">
        <v>66</v>
      </c>
      <c r="C29" s="73">
        <v>993006</v>
      </c>
      <c r="D29" s="73">
        <v>2152107</v>
      </c>
      <c r="E29" s="73">
        <v>5438936</v>
      </c>
      <c r="F29" s="73">
        <v>6330414</v>
      </c>
      <c r="G29" s="74">
        <f>795820+584857+2607458</f>
        <v>3988135</v>
      </c>
    </row>
    <row r="30" spans="2:7" ht="12" x14ac:dyDescent="0.25">
      <c r="B30" s="64" t="s">
        <v>29</v>
      </c>
      <c r="C30" s="86">
        <f>SUM(C26:C29)</f>
        <v>4918957</v>
      </c>
      <c r="D30" s="86">
        <f>SUM(D26:D29)</f>
        <v>6984235</v>
      </c>
      <c r="E30" s="86">
        <f>SUM(E26:E29)</f>
        <v>17125990</v>
      </c>
      <c r="F30" s="86">
        <f>SUM(F26:F29)</f>
        <v>23420784</v>
      </c>
      <c r="G30" s="87">
        <f>SUM(G26:G29)</f>
        <v>22642887</v>
      </c>
    </row>
    <row r="31" spans="2:7" ht="12" x14ac:dyDescent="0.25">
      <c r="B31" s="64" t="s">
        <v>30</v>
      </c>
      <c r="C31" s="86">
        <v>911710</v>
      </c>
      <c r="D31" s="86">
        <v>1083704</v>
      </c>
      <c r="E31" s="86">
        <v>4752911</v>
      </c>
      <c r="F31" s="86">
        <v>4237242</v>
      </c>
      <c r="G31" s="87">
        <f>3906421+539536</f>
        <v>4445957</v>
      </c>
    </row>
    <row r="32" spans="2:7" x14ac:dyDescent="0.25">
      <c r="B32" s="8" t="s">
        <v>31</v>
      </c>
      <c r="C32" s="80">
        <v>0</v>
      </c>
      <c r="D32" s="80">
        <v>0</v>
      </c>
      <c r="E32" s="80">
        <v>785175</v>
      </c>
      <c r="F32" s="80">
        <v>997346</v>
      </c>
      <c r="G32" s="81">
        <v>821156</v>
      </c>
    </row>
    <row r="33" spans="2:7" ht="12.6" thickBot="1" x14ac:dyDescent="0.3">
      <c r="B33" s="10" t="s">
        <v>32</v>
      </c>
      <c r="C33" s="84">
        <f>C30+C31+C32</f>
        <v>5830667</v>
      </c>
      <c r="D33" s="84">
        <f>D30+D31+D32</f>
        <v>8067939</v>
      </c>
      <c r="E33" s="84">
        <f>E30+E31+E32</f>
        <v>22664076</v>
      </c>
      <c r="F33" s="84">
        <f>F30+F31+F32</f>
        <v>28655372</v>
      </c>
      <c r="G33" s="85">
        <f>G30+G31+G32</f>
        <v>27910000</v>
      </c>
    </row>
    <row r="34" spans="2:7" x14ac:dyDescent="0.25">
      <c r="F34" s="63"/>
    </row>
    <row r="35" spans="2:7" x14ac:dyDescent="0.2">
      <c r="B35" s="68" t="s">
        <v>170</v>
      </c>
      <c r="C35" s="67"/>
      <c r="D35" s="67"/>
      <c r="E35" s="67"/>
      <c r="F35" s="67"/>
      <c r="G35" s="67"/>
    </row>
    <row r="36" spans="2:7" x14ac:dyDescent="0.2">
      <c r="B36" s="68" t="s">
        <v>302</v>
      </c>
      <c r="C36" s="67"/>
      <c r="D36" s="67"/>
      <c r="E36" s="67"/>
      <c r="F36" s="67"/>
      <c r="G36" s="67"/>
    </row>
    <row r="37" spans="2:7" x14ac:dyDescent="0.2">
      <c r="B37" s="66" t="s">
        <v>304</v>
      </c>
      <c r="C37" s="67">
        <f>(C4+C5)/C26</f>
        <v>0.91291336325662054</v>
      </c>
      <c r="D37" s="67">
        <f t="shared" ref="D37:G37" si="1">(D4+D5)/D26</f>
        <v>0.43383878180100921</v>
      </c>
      <c r="E37" s="67">
        <f t="shared" si="1"/>
        <v>0.60043452854425217</v>
      </c>
      <c r="F37" s="67">
        <f t="shared" si="1"/>
        <v>0.45907341944344188</v>
      </c>
      <c r="G37" s="67">
        <f t="shared" si="1"/>
        <v>0.26071016550925341</v>
      </c>
    </row>
    <row r="38" spans="2:7" x14ac:dyDescent="0.2">
      <c r="B38" s="66" t="s">
        <v>305</v>
      </c>
      <c r="C38" s="67">
        <f>C9/C26</f>
        <v>1.5091706111431182</v>
      </c>
      <c r="D38" s="67">
        <f>D9/D26</f>
        <v>0.98967319866170289</v>
      </c>
      <c r="E38" s="67">
        <f>E9/E26</f>
        <v>1.0742733187975642</v>
      </c>
      <c r="F38" s="67">
        <f>F9/F26</f>
        <v>0.8561306219029613</v>
      </c>
      <c r="G38" s="67">
        <f>G9/G26</f>
        <v>0.7329101505880633</v>
      </c>
    </row>
    <row r="39" spans="2:7" x14ac:dyDescent="0.2">
      <c r="B39" s="66" t="s">
        <v>51</v>
      </c>
      <c r="C39" s="67">
        <f>C6/'P&amp;L Input'!C7*360</f>
        <v>25.506053735106413</v>
      </c>
      <c r="D39" s="67">
        <f>D6/'P&amp;L Input'!D7*360</f>
        <v>15.033866572747325</v>
      </c>
      <c r="E39" s="67">
        <f>E6/'P&amp;L Input'!E7*360</f>
        <v>25.66967594325364</v>
      </c>
      <c r="F39" s="67">
        <f>F6/'P&amp;L Input'!F7*360</f>
        <v>15.77864519794662</v>
      </c>
      <c r="G39" s="67">
        <f>G6/'P&amp;L Input'!G7*180</f>
        <v>13.841258823729435</v>
      </c>
    </row>
    <row r="40" spans="2:7" x14ac:dyDescent="0.2">
      <c r="B40" s="66" t="s">
        <v>52</v>
      </c>
      <c r="C40" s="67">
        <f>-C7/SUM('P&amp;L Input'!C8:C10)*360</f>
        <v>148.19580564470351</v>
      </c>
      <c r="D40" s="67">
        <f>-D7/SUM('P&amp;L Input'!D8:D10)*360</f>
        <v>147.32375944829212</v>
      </c>
      <c r="E40" s="67">
        <f>-E7/SUM('P&amp;L Input'!E8:E10)*360</f>
        <v>137.80793667692734</v>
      </c>
      <c r="F40" s="67">
        <f>-F7/SUM('P&amp;L Input'!F8:F10)*360</f>
        <v>85.449953986173199</v>
      </c>
      <c r="G40" s="67">
        <f>-G7/SUM('P&amp;L Input'!G8:G10)*180</f>
        <v>94.457151624032477</v>
      </c>
    </row>
    <row r="41" spans="2:7" x14ac:dyDescent="0.2">
      <c r="B41" s="66" t="s">
        <v>53</v>
      </c>
      <c r="C41" s="67">
        <f>-C18/SUM('P&amp;L Input'!C8:C10)*360</f>
        <v>120.88849368817945</v>
      </c>
      <c r="D41" s="67">
        <f>-D18/SUM('P&amp;L Input'!D8:D10)*360</f>
        <v>105.62400521117225</v>
      </c>
      <c r="E41" s="67">
        <f>-E18/SUM('P&amp;L Input'!E8:E10)*360</f>
        <v>124.00264031291226</v>
      </c>
      <c r="F41" s="67">
        <f>-F18/SUM('P&amp;L Input'!F8:F10)*360</f>
        <v>90.233449912879919</v>
      </c>
      <c r="G41" s="67">
        <f>-G18/SUM('P&amp;L Input'!G8:G10)*180</f>
        <v>86.099992328971581</v>
      </c>
    </row>
    <row r="42" spans="2:7" x14ac:dyDescent="0.2">
      <c r="B42" s="66" t="s">
        <v>54</v>
      </c>
      <c r="C42" s="67">
        <f>C39+C40-C41</f>
        <v>52.813365691630466</v>
      </c>
      <c r="D42" s="67">
        <f>D39+D40-D41</f>
        <v>56.73362080986719</v>
      </c>
      <c r="E42" s="67">
        <f>E39+E40-E41</f>
        <v>39.474972307268729</v>
      </c>
      <c r="F42" s="67">
        <f>F39+F40-F41</f>
        <v>10.995149271239896</v>
      </c>
      <c r="G42" s="67">
        <f>G39+G40-G41</f>
        <v>22.198418118790329</v>
      </c>
    </row>
    <row r="43" spans="2:7" x14ac:dyDescent="0.2">
      <c r="B43" s="68" t="s">
        <v>306</v>
      </c>
      <c r="C43" s="67"/>
      <c r="D43" s="67"/>
      <c r="E43" s="67"/>
      <c r="F43" s="67"/>
      <c r="G43" s="67"/>
    </row>
    <row r="44" spans="2:7" x14ac:dyDescent="0.2">
      <c r="B44" s="66" t="s">
        <v>303</v>
      </c>
      <c r="C44" s="67">
        <f>C17/C30</f>
        <v>1.1853462024571468</v>
      </c>
      <c r="D44" s="67">
        <f t="shared" ref="D44:G44" si="2">D17/D30</f>
        <v>1.1551643093338069</v>
      </c>
      <c r="E44" s="67">
        <f t="shared" si="2"/>
        <v>1.3233731889368148</v>
      </c>
      <c r="F44" s="67">
        <f t="shared" si="2"/>
        <v>1.2235018264119595</v>
      </c>
      <c r="G44" s="67">
        <f t="shared" si="2"/>
        <v>1.23261667118685</v>
      </c>
    </row>
    <row r="45" spans="2:7" x14ac:dyDescent="0.2">
      <c r="B45" s="66" t="s">
        <v>307</v>
      </c>
      <c r="C45" s="217" t="s">
        <v>308</v>
      </c>
      <c r="D45" s="217" t="s">
        <v>308</v>
      </c>
      <c r="E45" s="217" t="s">
        <v>308</v>
      </c>
      <c r="F45" s="217" t="s">
        <v>308</v>
      </c>
      <c r="G45" s="217" t="s">
        <v>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252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179</v>
      </c>
    </row>
    <row r="2" spans="1:19" ht="15.6" x14ac:dyDescent="0.25">
      <c r="A2" s="1"/>
      <c r="B2" s="2"/>
    </row>
    <row r="3" spans="1:19" ht="12" x14ac:dyDescent="0.25">
      <c r="C3" s="218" t="s">
        <v>181</v>
      </c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4" x14ac:dyDescent="0.25">
      <c r="B4" s="36" t="s">
        <v>171</v>
      </c>
      <c r="C4" s="6" t="s">
        <v>45</v>
      </c>
      <c r="D4" s="6" t="s">
        <v>46</v>
      </c>
      <c r="E4" s="6" t="s">
        <v>47</v>
      </c>
      <c r="F4" s="6" t="s">
        <v>164</v>
      </c>
      <c r="G4" s="6" t="s">
        <v>172</v>
      </c>
      <c r="H4" s="98" t="s">
        <v>183</v>
      </c>
      <c r="I4" s="98" t="s">
        <v>182</v>
      </c>
      <c r="J4" s="98" t="s">
        <v>184</v>
      </c>
      <c r="K4" s="98" t="s">
        <v>185</v>
      </c>
      <c r="L4" s="98" t="s">
        <v>186</v>
      </c>
      <c r="M4" s="98" t="s">
        <v>187</v>
      </c>
      <c r="N4" s="98" t="s">
        <v>188</v>
      </c>
      <c r="O4" s="98" t="s">
        <v>268</v>
      </c>
      <c r="P4" s="98" t="s">
        <v>269</v>
      </c>
      <c r="Q4" s="98" t="s">
        <v>270</v>
      </c>
      <c r="R4" s="98" t="s">
        <v>271</v>
      </c>
      <c r="S4" s="98" t="s">
        <v>272</v>
      </c>
    </row>
    <row r="5" spans="1:19" x14ac:dyDescent="0.25">
      <c r="B5" s="8" t="s">
        <v>174</v>
      </c>
      <c r="C5" s="73">
        <v>0</v>
      </c>
      <c r="D5" s="73">
        <v>0</v>
      </c>
      <c r="E5" s="73">
        <v>0</v>
      </c>
      <c r="F5" s="73">
        <v>1764</v>
      </c>
      <c r="G5" s="73">
        <v>26620</v>
      </c>
      <c r="H5" s="74">
        <f>26*4000</f>
        <v>104000</v>
      </c>
      <c r="I5" s="74">
        <f>G5+H5</f>
        <v>130620</v>
      </c>
      <c r="J5" s="74">
        <f>52*5000</f>
        <v>260000</v>
      </c>
      <c r="K5" s="74">
        <f>52*8000</f>
        <v>416000</v>
      </c>
      <c r="L5" s="74">
        <f>K5*(1+L15)</f>
        <v>457600.00000000006</v>
      </c>
      <c r="M5" s="74">
        <f>L5*(1+M15)</f>
        <v>503360.00000000012</v>
      </c>
      <c r="N5" s="74">
        <f>M5*(1+N15)</f>
        <v>528528.00000000012</v>
      </c>
      <c r="O5" s="74">
        <f t="shared" ref="O5:S5" si="0">N5*(1+O15)</f>
        <v>554954.40000000014</v>
      </c>
      <c r="P5" s="74">
        <f t="shared" si="0"/>
        <v>566053.48800000013</v>
      </c>
      <c r="Q5" s="74">
        <f t="shared" si="0"/>
        <v>577374.55776000011</v>
      </c>
      <c r="R5" s="74">
        <f t="shared" si="0"/>
        <v>588922.04891520017</v>
      </c>
      <c r="S5" s="74">
        <f t="shared" si="0"/>
        <v>600700.48989350419</v>
      </c>
    </row>
    <row r="6" spans="1:19" x14ac:dyDescent="0.25">
      <c r="B6" s="8" t="s">
        <v>180</v>
      </c>
      <c r="C6" s="73">
        <v>33600</v>
      </c>
      <c r="D6" s="73">
        <v>50580</v>
      </c>
      <c r="E6" s="73">
        <v>76230</v>
      </c>
      <c r="F6" s="73">
        <v>101312</v>
      </c>
      <c r="G6" s="73">
        <f>22660+21440</f>
        <v>44100</v>
      </c>
      <c r="H6" s="74">
        <v>55900</v>
      </c>
      <c r="I6" s="74">
        <f t="shared" ref="I6:I10" si="1">G6+H6</f>
        <v>100000</v>
      </c>
      <c r="J6" s="74">
        <f>I6*(1+J16)</f>
        <v>102000</v>
      </c>
      <c r="K6" s="74">
        <f>J6*(1+K16)</f>
        <v>104040</v>
      </c>
      <c r="L6" s="74">
        <f>K6*(1+L16)</f>
        <v>106120.8</v>
      </c>
      <c r="M6" s="74">
        <f t="shared" ref="M6:S6" si="2">L6*(1+M16)</f>
        <v>108243.216</v>
      </c>
      <c r="N6" s="74">
        <f t="shared" si="2"/>
        <v>110408.08032000001</v>
      </c>
      <c r="O6" s="74">
        <f t="shared" si="2"/>
        <v>112616.24192640001</v>
      </c>
      <c r="P6" s="74">
        <f t="shared" si="2"/>
        <v>114868.56676492801</v>
      </c>
      <c r="Q6" s="74">
        <f t="shared" si="2"/>
        <v>117165.93810022657</v>
      </c>
      <c r="R6" s="74">
        <f t="shared" si="2"/>
        <v>119509.25686223111</v>
      </c>
      <c r="S6" s="74">
        <f t="shared" si="2"/>
        <v>121899.44199947573</v>
      </c>
    </row>
    <row r="7" spans="1:19" x14ac:dyDescent="0.25">
      <c r="B7" s="8" t="s">
        <v>175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4">
        <v>0</v>
      </c>
      <c r="I7" s="74">
        <f t="shared" si="1"/>
        <v>0</v>
      </c>
      <c r="J7" s="74">
        <f>F5</f>
        <v>1764</v>
      </c>
      <c r="K7" s="74">
        <f>J7*(1+K17)</f>
        <v>130620</v>
      </c>
      <c r="L7" s="74">
        <f>K7*(1+L17)</f>
        <v>260000</v>
      </c>
      <c r="M7" s="74">
        <f t="shared" ref="M7:S7" si="3">L7*(1+M17)</f>
        <v>416000</v>
      </c>
      <c r="N7" s="74">
        <f t="shared" si="3"/>
        <v>457600.00000000006</v>
      </c>
      <c r="O7" s="74">
        <f t="shared" si="3"/>
        <v>503360.00000000012</v>
      </c>
      <c r="P7" s="74">
        <f t="shared" si="3"/>
        <v>528528.00000000012</v>
      </c>
      <c r="Q7" s="74">
        <f t="shared" si="3"/>
        <v>554954.40000000014</v>
      </c>
      <c r="R7" s="74">
        <f t="shared" si="3"/>
        <v>566053.48800000013</v>
      </c>
      <c r="S7" s="74">
        <f t="shared" si="3"/>
        <v>577374.55776000011</v>
      </c>
    </row>
    <row r="8" spans="1:19" x14ac:dyDescent="0.25">
      <c r="B8" s="8" t="s">
        <v>177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4">
        <v>0</v>
      </c>
      <c r="I8" s="74">
        <f t="shared" si="1"/>
        <v>0</v>
      </c>
      <c r="J8" s="74">
        <v>0</v>
      </c>
      <c r="K8" s="74">
        <v>500</v>
      </c>
      <c r="L8" s="74">
        <f t="shared" ref="L8:S8" si="4">K8*(1+L18)</f>
        <v>1000</v>
      </c>
      <c r="M8" s="74">
        <f t="shared" si="4"/>
        <v>1500</v>
      </c>
      <c r="N8" s="74">
        <f t="shared" si="4"/>
        <v>1650.0000000000002</v>
      </c>
      <c r="O8" s="74">
        <f t="shared" si="4"/>
        <v>1815.0000000000005</v>
      </c>
      <c r="P8" s="74">
        <f t="shared" si="4"/>
        <v>1905.7500000000005</v>
      </c>
      <c r="Q8" s="74">
        <f t="shared" si="4"/>
        <v>2001.0375000000006</v>
      </c>
      <c r="R8" s="74">
        <f t="shared" si="4"/>
        <v>2041.0582500000007</v>
      </c>
      <c r="S8" s="74">
        <f t="shared" si="4"/>
        <v>2081.8794150000008</v>
      </c>
    </row>
    <row r="9" spans="1:19" x14ac:dyDescent="0.25">
      <c r="B9" s="8" t="s">
        <v>176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4">
        <v>0</v>
      </c>
      <c r="I9" s="74">
        <f t="shared" si="1"/>
        <v>0</v>
      </c>
      <c r="J9" s="74">
        <v>250</v>
      </c>
      <c r="K9" s="74">
        <f>J9*(1+K19)</f>
        <v>18511.904761904763</v>
      </c>
      <c r="L9" s="74">
        <f t="shared" ref="L9:S9" si="5">K9*(1+L19)</f>
        <v>36848.072562358284</v>
      </c>
      <c r="M9" s="74">
        <f t="shared" si="5"/>
        <v>58956.916099773254</v>
      </c>
      <c r="N9" s="74">
        <f t="shared" si="5"/>
        <v>64852.607709750584</v>
      </c>
      <c r="O9" s="74">
        <f t="shared" si="5"/>
        <v>71337.86848072565</v>
      </c>
      <c r="P9" s="74">
        <f t="shared" si="5"/>
        <v>74904.761904761937</v>
      </c>
      <c r="Q9" s="74">
        <f t="shared" si="5"/>
        <v>78650.000000000044</v>
      </c>
      <c r="R9" s="74">
        <f t="shared" si="5"/>
        <v>80223.000000000044</v>
      </c>
      <c r="S9" s="74">
        <f t="shared" si="5"/>
        <v>81827.46000000005</v>
      </c>
    </row>
    <row r="10" spans="1:19" x14ac:dyDescent="0.25">
      <c r="B10" s="8" t="s">
        <v>173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4">
        <v>0</v>
      </c>
      <c r="I10" s="74">
        <f t="shared" si="1"/>
        <v>0</v>
      </c>
      <c r="J10" s="74">
        <v>250</v>
      </c>
      <c r="K10" s="74">
        <f>J10*(1+K20)</f>
        <v>18511.904761904763</v>
      </c>
      <c r="L10" s="74">
        <f t="shared" ref="L10:S10" si="6">K10*(1+L20)</f>
        <v>36848.072562358284</v>
      </c>
      <c r="M10" s="74">
        <f t="shared" si="6"/>
        <v>58956.916099773254</v>
      </c>
      <c r="N10" s="74">
        <f t="shared" si="6"/>
        <v>64852.607709750584</v>
      </c>
      <c r="O10" s="74">
        <f t="shared" si="6"/>
        <v>71337.86848072565</v>
      </c>
      <c r="P10" s="74">
        <f t="shared" si="6"/>
        <v>74904.761904761937</v>
      </c>
      <c r="Q10" s="74">
        <f t="shared" si="6"/>
        <v>78650.000000000044</v>
      </c>
      <c r="R10" s="74">
        <f t="shared" si="6"/>
        <v>80223.000000000044</v>
      </c>
      <c r="S10" s="74">
        <f t="shared" si="6"/>
        <v>81827.46000000005</v>
      </c>
    </row>
    <row r="11" spans="1:19" ht="12.6" thickBot="1" x14ac:dyDescent="0.3">
      <c r="B11" s="116" t="s">
        <v>69</v>
      </c>
      <c r="C11" s="127">
        <f>SUM(C5:C10)</f>
        <v>33600</v>
      </c>
      <c r="D11" s="127">
        <f t="shared" ref="D11:S11" si="7">SUM(D5:D10)</f>
        <v>50580</v>
      </c>
      <c r="E11" s="127">
        <f t="shared" si="7"/>
        <v>76230</v>
      </c>
      <c r="F11" s="127">
        <f t="shared" si="7"/>
        <v>103076</v>
      </c>
      <c r="G11" s="127">
        <f t="shared" si="7"/>
        <v>70720</v>
      </c>
      <c r="H11" s="127">
        <f t="shared" si="7"/>
        <v>159900</v>
      </c>
      <c r="I11" s="127">
        <f t="shared" si="7"/>
        <v>230620</v>
      </c>
      <c r="J11" s="127">
        <f t="shared" si="7"/>
        <v>364264</v>
      </c>
      <c r="K11" s="127">
        <f t="shared" si="7"/>
        <v>688183.80952380947</v>
      </c>
      <c r="L11" s="127">
        <f t="shared" si="7"/>
        <v>898416.94512471673</v>
      </c>
      <c r="M11" s="127">
        <f t="shared" si="7"/>
        <v>1147017.0481995465</v>
      </c>
      <c r="N11" s="127">
        <f t="shared" si="7"/>
        <v>1227891.2957395012</v>
      </c>
      <c r="O11" s="127">
        <f t="shared" si="7"/>
        <v>1315421.3788878517</v>
      </c>
      <c r="P11" s="127">
        <f t="shared" si="7"/>
        <v>1361165.3285744521</v>
      </c>
      <c r="Q11" s="127">
        <f t="shared" si="7"/>
        <v>1408795.9333602269</v>
      </c>
      <c r="R11" s="127">
        <f t="shared" si="7"/>
        <v>1436971.8520274314</v>
      </c>
      <c r="S11" s="127">
        <f t="shared" si="7"/>
        <v>1465711.2890679801</v>
      </c>
    </row>
    <row r="12" spans="1:19" ht="3" customHeight="1" x14ac:dyDescent="0.25"/>
    <row r="13" spans="1:19" x14ac:dyDescent="0.25">
      <c r="B13" s="91" t="s">
        <v>189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</row>
    <row r="14" spans="1:19" ht="3" customHeight="1" x14ac:dyDescent="0.25"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 x14ac:dyDescent="0.25">
      <c r="B15" s="92" t="s">
        <v>174</v>
      </c>
      <c r="C15" s="95" t="s">
        <v>65</v>
      </c>
      <c r="D15" s="95" t="s">
        <v>65</v>
      </c>
      <c r="E15" s="95" t="s">
        <v>65</v>
      </c>
      <c r="F15" s="95" t="s">
        <v>65</v>
      </c>
      <c r="G15" s="92"/>
      <c r="H15" s="92"/>
      <c r="I15" s="94">
        <f>(I5/F5-1)</f>
        <v>73.047619047619051</v>
      </c>
      <c r="J15" s="94">
        <f>J5/I5-1</f>
        <v>0.99050681365793913</v>
      </c>
      <c r="K15" s="94">
        <f>K5/J5-1</f>
        <v>0.60000000000000009</v>
      </c>
      <c r="L15" s="94">
        <f>$C$25</f>
        <v>0.1</v>
      </c>
      <c r="M15" s="94">
        <f>$C$25</f>
        <v>0.1</v>
      </c>
      <c r="N15" s="94">
        <f>$C$26</f>
        <v>0.05</v>
      </c>
      <c r="O15" s="94">
        <f>$C$26</f>
        <v>0.05</v>
      </c>
      <c r="P15" s="94">
        <f>$C$27</f>
        <v>0.02</v>
      </c>
      <c r="Q15" s="94">
        <f t="shared" ref="Q15:S16" si="8">$C$27</f>
        <v>0.02</v>
      </c>
      <c r="R15" s="94">
        <f t="shared" si="8"/>
        <v>0.02</v>
      </c>
      <c r="S15" s="94">
        <f t="shared" si="8"/>
        <v>0.02</v>
      </c>
    </row>
    <row r="16" spans="1:19" x14ac:dyDescent="0.25">
      <c r="B16" s="92" t="s">
        <v>180</v>
      </c>
      <c r="C16" s="95" t="s">
        <v>65</v>
      </c>
      <c r="D16" s="79">
        <f>D6/C6-1</f>
        <v>0.50535714285714284</v>
      </c>
      <c r="E16" s="79">
        <f>E6/D6-1</f>
        <v>0.50711743772241991</v>
      </c>
      <c r="F16" s="79">
        <f>F6/E6-1</f>
        <v>0.32903056539420183</v>
      </c>
      <c r="G16" s="92"/>
      <c r="H16" s="92"/>
      <c r="I16" s="94">
        <f>(I6/F6-1)</f>
        <v>-1.2950094756790875E-2</v>
      </c>
      <c r="J16" s="97">
        <f>$C$27</f>
        <v>0.02</v>
      </c>
      <c r="K16" s="97">
        <f t="shared" ref="K16:P16" si="9">$C$27</f>
        <v>0.02</v>
      </c>
      <c r="L16" s="97">
        <f t="shared" si="9"/>
        <v>0.02</v>
      </c>
      <c r="M16" s="97">
        <f t="shared" si="9"/>
        <v>0.02</v>
      </c>
      <c r="N16" s="97">
        <f t="shared" si="9"/>
        <v>0.02</v>
      </c>
      <c r="O16" s="97">
        <f t="shared" si="9"/>
        <v>0.02</v>
      </c>
      <c r="P16" s="97">
        <f t="shared" si="9"/>
        <v>0.02</v>
      </c>
      <c r="Q16" s="97">
        <f t="shared" si="8"/>
        <v>0.02</v>
      </c>
      <c r="R16" s="97">
        <f t="shared" si="8"/>
        <v>0.02</v>
      </c>
      <c r="S16" s="97">
        <f t="shared" si="8"/>
        <v>0.02</v>
      </c>
    </row>
    <row r="17" spans="2:19" x14ac:dyDescent="0.25">
      <c r="B17" s="92" t="s">
        <v>175</v>
      </c>
      <c r="C17" s="95" t="s">
        <v>65</v>
      </c>
      <c r="D17" s="95" t="s">
        <v>65</v>
      </c>
      <c r="E17" s="95" t="s">
        <v>65</v>
      </c>
      <c r="F17" s="95" t="s">
        <v>65</v>
      </c>
      <c r="G17" s="92"/>
      <c r="H17" s="92"/>
      <c r="I17" s="94" t="s">
        <v>65</v>
      </c>
      <c r="J17" s="94" t="s">
        <v>65</v>
      </c>
      <c r="K17" s="97">
        <f>I15</f>
        <v>73.047619047619051</v>
      </c>
      <c r="L17" s="97">
        <f t="shared" ref="L17:M17" si="10">J15</f>
        <v>0.99050681365793913</v>
      </c>
      <c r="M17" s="97">
        <f t="shared" si="10"/>
        <v>0.60000000000000009</v>
      </c>
      <c r="N17" s="97">
        <f>$C$25</f>
        <v>0.1</v>
      </c>
      <c r="O17" s="97">
        <f>$C$25</f>
        <v>0.1</v>
      </c>
      <c r="P17" s="97">
        <f t="shared" ref="P17:Q20" si="11">$C$26</f>
        <v>0.05</v>
      </c>
      <c r="Q17" s="97">
        <f t="shared" si="11"/>
        <v>0.05</v>
      </c>
      <c r="R17" s="97">
        <f t="shared" ref="R17:S20" si="12">$C$27</f>
        <v>0.02</v>
      </c>
      <c r="S17" s="97">
        <f t="shared" si="12"/>
        <v>0.02</v>
      </c>
    </row>
    <row r="18" spans="2:19" x14ac:dyDescent="0.25">
      <c r="B18" s="92" t="s">
        <v>177</v>
      </c>
      <c r="C18" s="95" t="s">
        <v>65</v>
      </c>
      <c r="D18" s="95" t="s">
        <v>65</v>
      </c>
      <c r="E18" s="95" t="s">
        <v>65</v>
      </c>
      <c r="F18" s="95" t="s">
        <v>65</v>
      </c>
      <c r="G18" s="92"/>
      <c r="H18" s="92"/>
      <c r="I18" s="94" t="s">
        <v>65</v>
      </c>
      <c r="J18" s="94" t="s">
        <v>65</v>
      </c>
      <c r="K18" s="94" t="s">
        <v>65</v>
      </c>
      <c r="L18" s="97">
        <v>1</v>
      </c>
      <c r="M18" s="97">
        <v>0.5</v>
      </c>
      <c r="N18" s="97">
        <f>$C$25</f>
        <v>0.1</v>
      </c>
      <c r="O18" s="97">
        <f>$C$25</f>
        <v>0.1</v>
      </c>
      <c r="P18" s="97">
        <f t="shared" si="11"/>
        <v>0.05</v>
      </c>
      <c r="Q18" s="97">
        <f t="shared" si="11"/>
        <v>0.05</v>
      </c>
      <c r="R18" s="97">
        <f t="shared" si="12"/>
        <v>0.02</v>
      </c>
      <c r="S18" s="97">
        <f t="shared" si="12"/>
        <v>0.02</v>
      </c>
    </row>
    <row r="19" spans="2:19" x14ac:dyDescent="0.25">
      <c r="B19" s="92" t="s">
        <v>176</v>
      </c>
      <c r="C19" s="95" t="s">
        <v>65</v>
      </c>
      <c r="D19" s="95" t="s">
        <v>65</v>
      </c>
      <c r="E19" s="95" t="s">
        <v>65</v>
      </c>
      <c r="F19" s="95" t="s">
        <v>65</v>
      </c>
      <c r="G19" s="92"/>
      <c r="H19" s="92"/>
      <c r="I19" s="94" t="s">
        <v>65</v>
      </c>
      <c r="J19" s="94" t="s">
        <v>65</v>
      </c>
      <c r="K19" s="97">
        <f>I15</f>
        <v>73.047619047619051</v>
      </c>
      <c r="L19" s="97">
        <f t="shared" ref="L19:N19" si="13">J15</f>
        <v>0.99050681365793913</v>
      </c>
      <c r="M19" s="97">
        <f t="shared" si="13"/>
        <v>0.60000000000000009</v>
      </c>
      <c r="N19" s="97">
        <f t="shared" si="13"/>
        <v>0.1</v>
      </c>
      <c r="O19" s="97">
        <f>$C$25</f>
        <v>0.1</v>
      </c>
      <c r="P19" s="97">
        <f t="shared" si="11"/>
        <v>0.05</v>
      </c>
      <c r="Q19" s="97">
        <f t="shared" si="11"/>
        <v>0.05</v>
      </c>
      <c r="R19" s="97">
        <f t="shared" si="12"/>
        <v>0.02</v>
      </c>
      <c r="S19" s="97">
        <f t="shared" si="12"/>
        <v>0.02</v>
      </c>
    </row>
    <row r="20" spans="2:19" x14ac:dyDescent="0.25">
      <c r="B20" s="92" t="s">
        <v>173</v>
      </c>
      <c r="C20" s="95" t="s">
        <v>65</v>
      </c>
      <c r="D20" s="95" t="s">
        <v>65</v>
      </c>
      <c r="E20" s="95" t="s">
        <v>65</v>
      </c>
      <c r="F20" s="95" t="s">
        <v>65</v>
      </c>
      <c r="G20" s="92"/>
      <c r="H20" s="92"/>
      <c r="I20" s="94" t="s">
        <v>65</v>
      </c>
      <c r="J20" s="94" t="s">
        <v>65</v>
      </c>
      <c r="K20" s="97">
        <v>73.047619047619051</v>
      </c>
      <c r="L20" s="97">
        <v>0.99050681365793913</v>
      </c>
      <c r="M20" s="97">
        <v>0.60000000000000009</v>
      </c>
      <c r="N20" s="97">
        <f>$C$25</f>
        <v>0.1</v>
      </c>
      <c r="O20" s="97">
        <f>$C$25</f>
        <v>0.1</v>
      </c>
      <c r="P20" s="97">
        <f t="shared" si="11"/>
        <v>0.05</v>
      </c>
      <c r="Q20" s="97">
        <f t="shared" si="11"/>
        <v>0.05</v>
      </c>
      <c r="R20" s="97">
        <f t="shared" si="12"/>
        <v>0.02</v>
      </c>
      <c r="S20" s="97">
        <f t="shared" si="12"/>
        <v>0.02</v>
      </c>
    </row>
    <row r="21" spans="2:19" x14ac:dyDescent="0.25">
      <c r="B21" s="92"/>
      <c r="C21" s="95"/>
      <c r="D21" s="95"/>
      <c r="E21" s="95"/>
      <c r="F21" s="95"/>
      <c r="G21" s="92"/>
      <c r="H21" s="92"/>
      <c r="I21" s="95"/>
      <c r="J21" s="95"/>
      <c r="K21" s="93"/>
      <c r="L21" s="93"/>
      <c r="M21" s="93"/>
      <c r="N21" s="93"/>
      <c r="O21" s="93"/>
      <c r="P21" s="93"/>
      <c r="Q21" s="93"/>
      <c r="R21" s="93"/>
      <c r="S21" s="93"/>
    </row>
    <row r="24" spans="2:19" x14ac:dyDescent="0.25">
      <c r="B24" s="8" t="s">
        <v>265</v>
      </c>
    </row>
    <row r="25" spans="2:19" x14ac:dyDescent="0.25">
      <c r="B25" s="8" t="s">
        <v>266</v>
      </c>
      <c r="C25" s="34">
        <v>0.1</v>
      </c>
    </row>
    <row r="26" spans="2:19" x14ac:dyDescent="0.25">
      <c r="B26" s="8" t="s">
        <v>266</v>
      </c>
      <c r="C26" s="34">
        <v>0.05</v>
      </c>
    </row>
    <row r="27" spans="2:19" x14ac:dyDescent="0.25">
      <c r="B27" s="8" t="s">
        <v>267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Nishant</cp:lastModifiedBy>
  <dcterms:created xsi:type="dcterms:W3CDTF">2017-12-26T16:16:22Z</dcterms:created>
  <dcterms:modified xsi:type="dcterms:W3CDTF">2020-08-08T13:48:22Z</dcterms:modified>
</cp:coreProperties>
</file>