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ulik\Reference\Econometrics Learning\Gujarati_Datasets\"/>
    </mc:Choice>
  </mc:AlternateContent>
  <xr:revisionPtr revIDLastSave="0" documentId="13_ncr:1_{2D785317-5ACE-4EBE-9041-6629E97B1EE5}" xr6:coauthVersionLast="45" xr6:coauthVersionMax="45" xr10:uidLastSave="{00000000-0000-0000-0000-000000000000}"/>
  <bookViews>
    <workbookView minimized="1" xWindow="4365" yWindow="3045" windowWidth="15375" windowHeight="7875" firstSheet="102" activeTab="110" xr2:uid="{340E6EFE-951C-4877-B43C-5B21B4D2930C}"/>
  </bookViews>
  <sheets>
    <sheet name="56" sheetId="124" r:id="rId1"/>
    <sheet name="1_1" sheetId="1" r:id="rId2"/>
    <sheet name="1_3" sheetId="2" r:id="rId3"/>
    <sheet name="1_4" sheetId="3" r:id="rId4"/>
    <sheet name="1_5" sheetId="4" r:id="rId5"/>
    <sheet name="1_6" sheetId="5" r:id="rId6"/>
    <sheet name="2_4" sheetId="6" r:id="rId7"/>
    <sheet name="2_5" sheetId="7" r:id="rId8"/>
    <sheet name="2_6" sheetId="8" r:id="rId9"/>
    <sheet name="2_7" sheetId="9" r:id="rId10"/>
    <sheet name="2_8" sheetId="10" r:id="rId11"/>
    <sheet name="2_9_Prob" sheetId="11" r:id="rId12"/>
    <sheet name="2_10_Prob" sheetId="12" r:id="rId13"/>
    <sheet name="3_2" sheetId="13" r:id="rId14"/>
    <sheet name="3_3" sheetId="14" r:id="rId15"/>
    <sheet name="3_5" sheetId="15" r:id="rId16"/>
    <sheet name="3_6_Prob" sheetId="16" r:id="rId17"/>
    <sheet name="3_7" sheetId="17" r:id="rId18"/>
    <sheet name="3_8" sheetId="18" r:id="rId19"/>
    <sheet name="5_5" sheetId="19" r:id="rId20"/>
    <sheet name="5_6" sheetId="20" r:id="rId21"/>
    <sheet name="5_9_Prob" sheetId="21" r:id="rId22"/>
    <sheet name="5_10_Pending" sheetId="22" r:id="rId23"/>
    <sheet name="5_11" sheetId="23" r:id="rId24"/>
    <sheet name="6_1" sheetId="24" r:id="rId25"/>
    <sheet name="6_2" sheetId="25" r:id="rId26"/>
    <sheet name="6_3" sheetId="26" r:id="rId27"/>
    <sheet name="6_4" sheetId="27" r:id="rId28"/>
    <sheet name="6_5" sheetId="28" r:id="rId29"/>
    <sheet name="6_7" sheetId="29" r:id="rId30"/>
    <sheet name="6_8" sheetId="30" r:id="rId31"/>
    <sheet name="6_9" sheetId="31" r:id="rId32"/>
    <sheet name="6_10" sheetId="32" r:id="rId33"/>
    <sheet name="7_1" sheetId="33" r:id="rId34"/>
    <sheet name="7_3_Scan" sheetId="34" r:id="rId35"/>
    <sheet name="7_4" sheetId="35" r:id="rId36"/>
    <sheet name="7_5" sheetId="36" r:id="rId37"/>
    <sheet name="7_6_Scan" sheetId="37" r:id="rId38"/>
    <sheet name="7_7" sheetId="38" r:id="rId39"/>
    <sheet name="7_8" sheetId="39" r:id="rId40"/>
    <sheet name="7_9" sheetId="40" r:id="rId41"/>
    <sheet name="7_10" sheetId="41" r:id="rId42"/>
    <sheet name="7_11" sheetId="42" r:id="rId43"/>
    <sheet name="7_12" sheetId="43" r:id="rId44"/>
    <sheet name="7_13" sheetId="44" r:id="rId45"/>
    <sheet name="8_8" sheetId="45" r:id="rId46"/>
    <sheet name="8_9" sheetId="46" r:id="rId47"/>
    <sheet name="8_10" sheetId="47" r:id="rId48"/>
    <sheet name="8_11" sheetId="48" r:id="rId49"/>
    <sheet name="9_1" sheetId="49" r:id="rId50"/>
    <sheet name="9_2" sheetId="50" r:id="rId51"/>
    <sheet name="Real_9_4" sheetId="51" r:id="rId52"/>
    <sheet name="Real_9_5" sheetId="52" r:id="rId53"/>
    <sheet name="Real_9_7" sheetId="53" r:id="rId54"/>
    <sheet name="Real_9_8" sheetId="54" r:id="rId55"/>
    <sheet name="Real_9_9" sheetId="55" r:id="rId56"/>
    <sheet name="Real_9_10" sheetId="56" r:id="rId57"/>
    <sheet name="10_3" sheetId="57" r:id="rId58"/>
    <sheet name="10_4" sheetId="58" r:id="rId59"/>
    <sheet name="10_5" sheetId="59" r:id="rId60"/>
    <sheet name="10_7" sheetId="60" r:id="rId61"/>
    <sheet name="10_8_Change_range" sheetId="61" r:id="rId62"/>
    <sheet name="10_11" sheetId="62" r:id="rId63"/>
    <sheet name="10_13" sheetId="63" r:id="rId64"/>
    <sheet name="10_14" sheetId="64" r:id="rId65"/>
    <sheet name="10_15" sheetId="65" r:id="rId66"/>
    <sheet name="10_16" sheetId="66" r:id="rId67"/>
    <sheet name="10_17" sheetId="67" r:id="rId68"/>
    <sheet name="10_18" sheetId="68" r:id="rId69"/>
    <sheet name="11_1" sheetId="69" r:id="rId70"/>
    <sheet name="11_3" sheetId="70" r:id="rId71"/>
    <sheet name="11_5" sheetId="71" r:id="rId72"/>
    <sheet name="11_6" sheetId="72" r:id="rId73"/>
    <sheet name="11_7" sheetId="73" r:id="rId74"/>
    <sheet name="11_8" sheetId="74" r:id="rId75"/>
    <sheet name="11_9" sheetId="75" r:id="rId76"/>
    <sheet name="11_10" sheetId="76" r:id="rId77"/>
    <sheet name="12_4" sheetId="77" r:id="rId78"/>
    <sheet name="12_7" sheetId="78" r:id="rId79"/>
    <sheet name="12_8" sheetId="79" r:id="rId80"/>
    <sheet name="12_9" sheetId="80" r:id="rId81"/>
    <sheet name="12_10" sheetId="81" r:id="rId82"/>
    <sheet name="13_2" sheetId="82" r:id="rId83"/>
    <sheet name="13_3" sheetId="83" r:id="rId84"/>
    <sheet name="14_1" sheetId="84" r:id="rId85"/>
    <sheet name="14_2" sheetId="85" r:id="rId86"/>
    <sheet name="14_3" sheetId="86" r:id="rId87"/>
    <sheet name="14_4" sheetId="87" r:id="rId88"/>
    <sheet name="15_1" sheetId="88" r:id="rId89"/>
    <sheet name="15_2" sheetId="89" r:id="rId90"/>
    <sheet name="15_4" sheetId="90" r:id="rId91"/>
    <sheet name="15_7" sheetId="91" r:id="rId92"/>
    <sheet name="15_10" sheetId="92" r:id="rId93"/>
    <sheet name="15_22_Prob" sheetId="93" r:id="rId94"/>
    <sheet name="15_23" sheetId="94" r:id="rId95"/>
    <sheet name="15_26" sheetId="95" r:id="rId96"/>
    <sheet name="15_27" sheetId="96" r:id="rId97"/>
    <sheet name="15_28" sheetId="97" r:id="rId98"/>
    <sheet name="15_29" sheetId="98" r:id="rId99"/>
    <sheet name="16_1" sheetId="99" r:id="rId100"/>
    <sheet name="16_17" sheetId="100" r:id="rId101"/>
    <sheet name="16_18" sheetId="101" r:id="rId102"/>
    <sheet name="17_2" sheetId="102" r:id="rId103"/>
    <sheet name="17_5" sheetId="103" r:id="rId104"/>
    <sheet name="17_7" sheetId="104" r:id="rId105"/>
    <sheet name="17_8" sheetId="105" r:id="rId106"/>
    <sheet name="17_10" sheetId="106" r:id="rId107"/>
    <sheet name="17_11" sheetId="107" r:id="rId108"/>
    <sheet name="17_12" sheetId="108" r:id="rId109"/>
    <sheet name="17_13" sheetId="109" r:id="rId110"/>
    <sheet name="18_2" sheetId="110" r:id="rId111"/>
    <sheet name="18_3" sheetId="111" r:id="rId112"/>
    <sheet name="18_4" sheetId="112" r:id="rId113"/>
    <sheet name="19_4" sheetId="113" r:id="rId114"/>
    <sheet name="20_1" sheetId="114" r:id="rId115"/>
    <sheet name="20_2" sheetId="115" r:id="rId116"/>
    <sheet name="20_5" sheetId="116" r:id="rId117"/>
    <sheet name="20_10" sheetId="117" r:id="rId118"/>
    <sheet name="21_1" sheetId="118" r:id="rId119"/>
    <sheet name="22_5" sheetId="119" r:id="rId120"/>
    <sheet name="22_6" sheetId="120" r:id="rId121"/>
    <sheet name="22_7" sheetId="121" r:id="rId122"/>
    <sheet name="E_1" sheetId="122" r:id="rId123"/>
    <sheet name="I_1" sheetId="123" r:id="rId1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5" l="1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" i="25"/>
  <c r="L43" i="21" l="1"/>
  <c r="L44" i="21"/>
  <c r="L45" i="21"/>
  <c r="L46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7" i="21"/>
  <c r="L8" i="21"/>
  <c r="L9" i="21"/>
  <c r="L10" i="21"/>
  <c r="L11" i="21"/>
  <c r="L12" i="21"/>
  <c r="L13" i="21"/>
  <c r="L14" i="21"/>
  <c r="L15" i="21"/>
  <c r="L16" i="21"/>
  <c r="L6" i="21"/>
  <c r="L5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8" i="21"/>
  <c r="K9" i="21"/>
  <c r="K10" i="21"/>
  <c r="K11" i="21"/>
  <c r="K12" i="21"/>
  <c r="K6" i="21"/>
  <c r="K7" i="21"/>
  <c r="K5" i="21"/>
  <c r="Z23" i="22" l="1"/>
  <c r="Z24" i="22"/>
  <c r="Z25" i="22"/>
  <c r="Z26" i="22"/>
  <c r="Z27" i="22"/>
  <c r="Z28" i="22"/>
  <c r="Z29" i="22"/>
  <c r="Z30" i="22"/>
  <c r="Z31" i="22"/>
  <c r="Z32" i="22"/>
  <c r="Z33" i="22"/>
  <c r="Z22" i="22"/>
  <c r="Y33" i="22"/>
  <c r="Y32" i="22"/>
  <c r="Y31" i="22"/>
  <c r="Y30" i="22"/>
  <c r="Y29" i="22"/>
  <c r="Y28" i="22"/>
  <c r="Y27" i="22"/>
  <c r="Y26" i="22"/>
  <c r="Y25" i="22"/>
  <c r="Y24" i="22"/>
  <c r="Y23" i="22"/>
  <c r="Y22" i="22"/>
  <c r="X33" i="22"/>
  <c r="X32" i="22"/>
  <c r="X31" i="22"/>
  <c r="X30" i="22"/>
  <c r="X29" i="22"/>
  <c r="X28" i="22"/>
  <c r="X27" i="22"/>
  <c r="X26" i="22"/>
  <c r="X25" i="22"/>
  <c r="X24" i="22"/>
  <c r="X23" i="22"/>
  <c r="X22" i="22"/>
  <c r="AA19" i="22"/>
  <c r="Z19" i="22"/>
  <c r="Y19" i="22"/>
  <c r="X19" i="22"/>
  <c r="AA18" i="22"/>
  <c r="Z18" i="22"/>
  <c r="Y18" i="22"/>
  <c r="X18" i="22"/>
  <c r="AA17" i="22"/>
  <c r="Z17" i="22"/>
  <c r="Y17" i="22"/>
  <c r="X17" i="22"/>
  <c r="AA16" i="22"/>
  <c r="Z16" i="22"/>
  <c r="Y16" i="22"/>
  <c r="X16" i="22"/>
  <c r="AA15" i="22"/>
  <c r="Z15" i="22"/>
  <c r="Y15" i="22"/>
  <c r="X15" i="22"/>
  <c r="AA14" i="22"/>
  <c r="Z14" i="22"/>
  <c r="Y14" i="22"/>
  <c r="X14" i="22"/>
  <c r="AA13" i="22"/>
  <c r="Z13" i="22"/>
  <c r="Y13" i="22"/>
  <c r="X13" i="22"/>
  <c r="AA12" i="22"/>
  <c r="Z12" i="22"/>
  <c r="Y12" i="22"/>
  <c r="X12" i="22"/>
  <c r="AA11" i="22"/>
  <c r="Z11" i="22"/>
  <c r="Y11" i="22"/>
  <c r="X11" i="22"/>
  <c r="AA10" i="22"/>
  <c r="Z10" i="22"/>
  <c r="Y10" i="22"/>
  <c r="X10" i="22"/>
  <c r="AA9" i="22"/>
  <c r="Z9" i="22"/>
  <c r="Y9" i="22"/>
  <c r="X9" i="22"/>
  <c r="AA8" i="22"/>
  <c r="Z8" i="22"/>
  <c r="Y8" i="22"/>
  <c r="X8" i="22"/>
  <c r="AA7" i="22"/>
  <c r="Z7" i="22"/>
  <c r="Y7" i="22"/>
  <c r="X7" i="22"/>
  <c r="L45" i="22"/>
  <c r="L44" i="22"/>
  <c r="L43" i="22"/>
  <c r="L42" i="22"/>
  <c r="L41" i="22"/>
  <c r="L40" i="22"/>
  <c r="L39" i="22"/>
  <c r="L38" i="22"/>
  <c r="L37" i="22"/>
  <c r="L36" i="22"/>
  <c r="L35" i="22"/>
  <c r="L34" i="22"/>
  <c r="L33" i="22"/>
  <c r="L32" i="22"/>
  <c r="L31" i="22"/>
  <c r="L30" i="22"/>
  <c r="G27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6" i="6"/>
  <c r="F7" i="6"/>
  <c r="F8" i="6"/>
  <c r="F9" i="6"/>
  <c r="F10" i="6"/>
  <c r="F11" i="6"/>
  <c r="F12" i="6"/>
  <c r="F13" i="6"/>
  <c r="F14" i="6"/>
  <c r="F5" i="6"/>
  <c r="E6" i="6"/>
  <c r="E7" i="6"/>
  <c r="E8" i="6"/>
  <c r="E9" i="6"/>
  <c r="E10" i="6"/>
  <c r="E11" i="6"/>
  <c r="E12" i="6"/>
  <c r="E13" i="6"/>
  <c r="E14" i="6"/>
  <c r="E5" i="6"/>
  <c r="T34" i="4"/>
  <c r="T35" i="4"/>
  <c r="T36" i="4"/>
  <c r="T37" i="4"/>
  <c r="T38" i="4"/>
  <c r="T39" i="4"/>
  <c r="T40" i="4"/>
  <c r="T41" i="4"/>
  <c r="T42" i="4"/>
  <c r="T43" i="4"/>
  <c r="T44" i="4"/>
  <c r="T23" i="4"/>
  <c r="T24" i="4"/>
  <c r="T25" i="4"/>
  <c r="T26" i="4"/>
  <c r="T27" i="4"/>
  <c r="T28" i="4"/>
  <c r="T29" i="4"/>
  <c r="T30" i="4"/>
  <c r="T31" i="4"/>
  <c r="T32" i="4"/>
  <c r="T33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7" i="4"/>
  <c r="E10" i="103" l="1"/>
  <c r="E11" i="103"/>
  <c r="E12" i="103"/>
  <c r="E13" i="103"/>
  <c r="E14" i="103"/>
  <c r="E15" i="103"/>
  <c r="E16" i="103"/>
  <c r="E17" i="103"/>
  <c r="E18" i="103"/>
  <c r="E19" i="103"/>
  <c r="E20" i="103"/>
  <c r="E21" i="103"/>
  <c r="E25" i="103" s="1"/>
  <c r="E29" i="103" s="1"/>
  <c r="E33" i="103" s="1"/>
  <c r="E37" i="103" s="1"/>
  <c r="E41" i="103" s="1"/>
  <c r="E22" i="103"/>
  <c r="E23" i="103"/>
  <c r="E24" i="103"/>
  <c r="E26" i="103"/>
  <c r="E27" i="103"/>
  <c r="E28" i="103"/>
  <c r="E30" i="103"/>
  <c r="E31" i="103"/>
  <c r="E32" i="103"/>
  <c r="E34" i="103"/>
  <c r="E35" i="103"/>
  <c r="E36" i="103"/>
  <c r="E38" i="103"/>
  <c r="E39" i="103"/>
  <c r="E40" i="103"/>
  <c r="E42" i="103"/>
  <c r="E43" i="103"/>
  <c r="E44" i="103"/>
  <c r="E9" i="103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6" i="26"/>
  <c r="D7" i="20"/>
  <c r="D8" i="20"/>
  <c r="D9" i="20"/>
  <c r="D10" i="20"/>
  <c r="E10" i="20" s="1"/>
  <c r="D11" i="20"/>
  <c r="D12" i="20"/>
  <c r="D13" i="20"/>
  <c r="D14" i="20"/>
  <c r="E14" i="20" s="1"/>
  <c r="D15" i="20"/>
  <c r="D16" i="20"/>
  <c r="D17" i="20"/>
  <c r="D18" i="20"/>
  <c r="D19" i="20"/>
  <c r="D20" i="20"/>
  <c r="D21" i="20"/>
  <c r="D22" i="20"/>
  <c r="D23" i="20"/>
  <c r="D24" i="20"/>
  <c r="D25" i="20"/>
  <c r="D26" i="20"/>
  <c r="E26" i="20" s="1"/>
  <c r="D27" i="20"/>
  <c r="D28" i="20"/>
  <c r="D29" i="20"/>
  <c r="D30" i="20"/>
  <c r="E30" i="20" s="1"/>
  <c r="D31" i="20"/>
  <c r="D32" i="20"/>
  <c r="D33" i="20"/>
  <c r="D34" i="20"/>
  <c r="D35" i="20"/>
  <c r="D36" i="20"/>
  <c r="D37" i="20"/>
  <c r="D38" i="20"/>
  <c r="D39" i="20"/>
  <c r="D40" i="20"/>
  <c r="D41" i="20"/>
  <c r="D42" i="20"/>
  <c r="E42" i="20" s="1"/>
  <c r="D43" i="20"/>
  <c r="D44" i="20"/>
  <c r="D45" i="20"/>
  <c r="D46" i="20"/>
  <c r="E46" i="20" s="1"/>
  <c r="D47" i="20"/>
  <c r="D48" i="20"/>
  <c r="D49" i="20"/>
  <c r="D50" i="20"/>
  <c r="D51" i="20"/>
  <c r="D52" i="20"/>
  <c r="D53" i="20"/>
  <c r="D54" i="20"/>
  <c r="D55" i="20"/>
  <c r="D56" i="20"/>
  <c r="D57" i="20"/>
  <c r="D58" i="20"/>
  <c r="E58" i="20" s="1"/>
  <c r="D59" i="20"/>
  <c r="D60" i="20"/>
  <c r="D61" i="20"/>
  <c r="D62" i="20"/>
  <c r="D63" i="20"/>
  <c r="D64" i="20"/>
  <c r="D6" i="20"/>
  <c r="C10" i="20"/>
  <c r="C11" i="20"/>
  <c r="C14" i="20"/>
  <c r="C15" i="20"/>
  <c r="C16" i="20"/>
  <c r="E16" i="20" s="1"/>
  <c r="C22" i="20"/>
  <c r="E22" i="20" s="1"/>
  <c r="C26" i="20"/>
  <c r="C27" i="20"/>
  <c r="C30" i="20"/>
  <c r="C31" i="20"/>
  <c r="C32" i="20"/>
  <c r="E32" i="20" s="1"/>
  <c r="C38" i="20"/>
  <c r="E38" i="20" s="1"/>
  <c r="C42" i="20"/>
  <c r="C43" i="20"/>
  <c r="C47" i="20"/>
  <c r="C48" i="20"/>
  <c r="E48" i="20" s="1"/>
  <c r="C54" i="20"/>
  <c r="E54" i="20" s="1"/>
  <c r="C58" i="20"/>
  <c r="C59" i="20"/>
  <c r="B7" i="20"/>
  <c r="C7" i="20" s="1"/>
  <c r="B8" i="20"/>
  <c r="C8" i="20" s="1"/>
  <c r="E8" i="20" s="1"/>
  <c r="B9" i="20"/>
  <c r="C9" i="20" s="1"/>
  <c r="E9" i="20" s="1"/>
  <c r="B10" i="20"/>
  <c r="B11" i="20"/>
  <c r="B12" i="20"/>
  <c r="C12" i="20" s="1"/>
  <c r="E12" i="20" s="1"/>
  <c r="B13" i="20"/>
  <c r="C13" i="20" s="1"/>
  <c r="E13" i="20" s="1"/>
  <c r="B14" i="20"/>
  <c r="B15" i="20"/>
  <c r="B16" i="20"/>
  <c r="B17" i="20"/>
  <c r="C17" i="20" s="1"/>
  <c r="E17" i="20" s="1"/>
  <c r="B18" i="20"/>
  <c r="C18" i="20" s="1"/>
  <c r="E18" i="20" s="1"/>
  <c r="B19" i="20"/>
  <c r="C19" i="20" s="1"/>
  <c r="B20" i="20"/>
  <c r="C20" i="20" s="1"/>
  <c r="E20" i="20" s="1"/>
  <c r="B21" i="20"/>
  <c r="C21" i="20" s="1"/>
  <c r="E21" i="20" s="1"/>
  <c r="B22" i="20"/>
  <c r="B23" i="20"/>
  <c r="C23" i="20" s="1"/>
  <c r="B24" i="20"/>
  <c r="C24" i="20" s="1"/>
  <c r="E24" i="20" s="1"/>
  <c r="B25" i="20"/>
  <c r="C25" i="20" s="1"/>
  <c r="E25" i="20" s="1"/>
  <c r="B26" i="20"/>
  <c r="B27" i="20"/>
  <c r="B28" i="20"/>
  <c r="C28" i="20" s="1"/>
  <c r="E28" i="20" s="1"/>
  <c r="B29" i="20"/>
  <c r="C29" i="20" s="1"/>
  <c r="E29" i="20" s="1"/>
  <c r="B30" i="20"/>
  <c r="B31" i="20"/>
  <c r="B32" i="20"/>
  <c r="B33" i="20"/>
  <c r="C33" i="20" s="1"/>
  <c r="E33" i="20" s="1"/>
  <c r="B34" i="20"/>
  <c r="C34" i="20" s="1"/>
  <c r="E34" i="20" s="1"/>
  <c r="B35" i="20"/>
  <c r="C35" i="20" s="1"/>
  <c r="B36" i="20"/>
  <c r="C36" i="20" s="1"/>
  <c r="E36" i="20" s="1"/>
  <c r="B37" i="20"/>
  <c r="C37" i="20" s="1"/>
  <c r="E37" i="20" s="1"/>
  <c r="B38" i="20"/>
  <c r="B39" i="20"/>
  <c r="C39" i="20" s="1"/>
  <c r="B40" i="20"/>
  <c r="C40" i="20" s="1"/>
  <c r="E40" i="20" s="1"/>
  <c r="B41" i="20"/>
  <c r="C41" i="20" s="1"/>
  <c r="E41" i="20" s="1"/>
  <c r="B42" i="20"/>
  <c r="B43" i="20"/>
  <c r="B44" i="20"/>
  <c r="C44" i="20" s="1"/>
  <c r="E44" i="20" s="1"/>
  <c r="B45" i="20"/>
  <c r="C45" i="20" s="1"/>
  <c r="E45" i="20" s="1"/>
  <c r="B46" i="20"/>
  <c r="C46" i="20" s="1"/>
  <c r="B47" i="20"/>
  <c r="B48" i="20"/>
  <c r="B49" i="20"/>
  <c r="C49" i="20" s="1"/>
  <c r="E49" i="20" s="1"/>
  <c r="B50" i="20"/>
  <c r="C50" i="20" s="1"/>
  <c r="E50" i="20" s="1"/>
  <c r="B51" i="20"/>
  <c r="C51" i="20" s="1"/>
  <c r="B52" i="20"/>
  <c r="C52" i="20" s="1"/>
  <c r="E52" i="20" s="1"/>
  <c r="B53" i="20"/>
  <c r="C53" i="20" s="1"/>
  <c r="E53" i="20" s="1"/>
  <c r="B54" i="20"/>
  <c r="B55" i="20"/>
  <c r="C55" i="20" s="1"/>
  <c r="B56" i="20"/>
  <c r="C56" i="20" s="1"/>
  <c r="E56" i="20" s="1"/>
  <c r="B57" i="20"/>
  <c r="C57" i="20" s="1"/>
  <c r="E57" i="20" s="1"/>
  <c r="B58" i="20"/>
  <c r="B59" i="20"/>
  <c r="B60" i="20"/>
  <c r="C60" i="20" s="1"/>
  <c r="E60" i="20" s="1"/>
  <c r="B6" i="20"/>
  <c r="C6" i="20" s="1"/>
  <c r="E6" i="20" s="1"/>
  <c r="E42" i="17"/>
  <c r="E43" i="17"/>
  <c r="E44" i="17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E59" i="20" l="1"/>
  <c r="E55" i="20"/>
  <c r="E51" i="20"/>
  <c r="E47" i="20"/>
  <c r="E43" i="20"/>
  <c r="E39" i="20"/>
  <c r="E35" i="20"/>
  <c r="E31" i="20"/>
  <c r="E27" i="20"/>
  <c r="E23" i="20"/>
  <c r="E19" i="20"/>
  <c r="E15" i="20"/>
  <c r="E11" i="20"/>
  <c r="E7" i="20"/>
</calcChain>
</file>

<file path=xl/sharedStrings.xml><?xml version="1.0" encoding="utf-8"?>
<sst xmlns="http://schemas.openxmlformats.org/spreadsheetml/2006/main" count="2775" uniqueCount="1447">
  <si>
    <t>Table 1.1</t>
  </si>
  <si>
    <t>U.S. Egg Production</t>
  </si>
  <si>
    <t>STATE = State</t>
  </si>
  <si>
    <t>Y1 = Eggs Produced in 1990, Millions</t>
  </si>
  <si>
    <t>Y2 = Eggs Produced in 1991, Millions</t>
  </si>
  <si>
    <t>X1 = Price Per Dozen in 1990, Cents</t>
  </si>
  <si>
    <t>X2 = Price Per Dozen in 1991, Cents</t>
  </si>
  <si>
    <t>STATE</t>
  </si>
  <si>
    <t>Y1</t>
  </si>
  <si>
    <t>Y2</t>
  </si>
  <si>
    <t>X1</t>
  </si>
  <si>
    <t>X2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</si>
  <si>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</si>
  <si>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</si>
  <si>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</si>
  <si>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</si>
  <si>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</si>
  <si>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</si>
  <si>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</si>
  <si>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</si>
  <si>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</si>
  <si>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</si>
  <si>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</si>
  <si>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</si>
  <si>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</si>
  <si>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</si>
  <si>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</si>
  <si>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</si>
  <si>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</si>
  <si>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</si>
  <si>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</si>
  <si>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</si>
  <si>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</si>
  <si>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</si>
  <si>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</si>
  <si>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</si>
  <si>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</si>
  <si>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</si>
  <si>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</si>
  <si>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</si>
  <si>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</si>
  <si>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</si>
  <si>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</si>
  <si>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</si>
  <si>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</si>
  <si>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</si>
  <si>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</si>
  <si>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</si>
  <si>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</si>
  <si>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</si>
  <si>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</si>
  <si>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</si>
  <si>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</si>
  <si>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</si>
  <si>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</si>
  <si>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</si>
  <si>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</si>
  <si>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</si>
  <si>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</si>
  <si>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</si>
  <si>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</si>
  <si>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</si>
  <si>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Table 1.3</t>
  </si>
  <si>
    <t>Year</t>
  </si>
  <si>
    <t>USA</t>
  </si>
  <si>
    <t>Canada</t>
  </si>
  <si>
    <t>Japan</t>
  </si>
  <si>
    <t>France</t>
  </si>
  <si>
    <t>Germany</t>
  </si>
  <si>
    <t>Italy</t>
  </si>
  <si>
    <t>UK</t>
  </si>
  <si>
    <t>TABLE 1.4 Foreign exchange rates, 1985–2006</t>
  </si>
  <si>
    <t>[Foreign currency units per U.S. dollar, except as noted; certified noon buying rates in New York]</t>
  </si>
  <si>
    <t>Period</t>
  </si>
  <si>
    <t>Australia (dollar) 2</t>
  </si>
  <si>
    <t>Canada (dollar)</t>
  </si>
  <si>
    <t>China, P.R. (yuan)</t>
  </si>
  <si>
    <t>Japan (yen)</t>
  </si>
  <si>
    <t>Mexico (peso)</t>
  </si>
  <si>
    <t>South Korea (won)</t>
  </si>
  <si>
    <t>Sweden (krona)</t>
  </si>
  <si>
    <t>Switzerland (franc)</t>
  </si>
  <si>
    <t>United Kingdom (pound) 2</t>
  </si>
  <si>
    <t>Table 1.5</t>
  </si>
  <si>
    <t>M1 Money Stock: Billions of Dollars: SA</t>
  </si>
  <si>
    <t>http://www.economagic.com/</t>
  </si>
  <si>
    <t>Table 1.6</t>
  </si>
  <si>
    <t>Impact of Advertising Expenditure</t>
  </si>
  <si>
    <t>IMPRESSION</t>
  </si>
  <si>
    <t>ADEXP</t>
  </si>
  <si>
    <t>Table 2.4</t>
  </si>
  <si>
    <t>A Random Sample from the Population of Table 2.1</t>
  </si>
  <si>
    <t>Y</t>
  </si>
  <si>
    <t>X</t>
  </si>
  <si>
    <t>Table 2.5 - Another Random Sample from the Population of Table 2.1</t>
  </si>
  <si>
    <t>-----</t>
  </si>
  <si>
    <t>------------------------------------------------------------------------</t>
  </si>
  <si>
    <t>Table 2.6</t>
  </si>
  <si>
    <t>Mean hourly wage by education</t>
  </si>
  <si>
    <t>Table 2.7</t>
  </si>
  <si>
    <t>CLFRPM</t>
  </si>
  <si>
    <t>CLFPRF</t>
  </si>
  <si>
    <t>UNRM</t>
  </si>
  <si>
    <t>UNRF</t>
  </si>
  <si>
    <t>M Labor Part.</t>
  </si>
  <si>
    <t>F Labor Part</t>
  </si>
  <si>
    <t>M Civil Unemp</t>
  </si>
  <si>
    <t>F Civil Unemp</t>
  </si>
  <si>
    <t>Month</t>
  </si>
  <si>
    <t>M1</t>
  </si>
  <si>
    <t>Years_of_Schooling</t>
  </si>
  <si>
    <t>Mean_Wages_USD</t>
  </si>
  <si>
    <t>No_of_People</t>
  </si>
  <si>
    <t>Table 2.8</t>
  </si>
  <si>
    <t>obs</t>
  </si>
  <si>
    <t>FOODEXP</t>
  </si>
  <si>
    <t>TOTALEXP</t>
  </si>
  <si>
    <t>Table 2.9</t>
  </si>
  <si>
    <t>Critical Reading</t>
  </si>
  <si>
    <t>Mathematics</t>
  </si>
  <si>
    <t>Male</t>
  </si>
  <si>
    <t>Female</t>
  </si>
  <si>
    <t>Total</t>
  </si>
  <si>
    <t>Table 2.10</t>
  </si>
  <si>
    <t>Family Income</t>
  </si>
  <si>
    <t>Number of test takers</t>
  </si>
  <si>
    <t>Writing</t>
  </si>
  <si>
    <t>Mean</t>
  </si>
  <si>
    <t>&lt; 10,000</t>
  </si>
  <si>
    <t>10000-20000</t>
  </si>
  <si>
    <t>20000-30000</t>
  </si>
  <si>
    <t>30000-40000</t>
  </si>
  <si>
    <t>40000-50000</t>
  </si>
  <si>
    <t>50000-60000</t>
  </si>
  <si>
    <t>60000-70000</t>
  </si>
  <si>
    <t>70000-80000</t>
  </si>
  <si>
    <t>80000-100000</t>
  </si>
  <si>
    <t>&gt;100000</t>
  </si>
  <si>
    <t>Table 3.2</t>
  </si>
  <si>
    <t>Impact of Education on Wages</t>
  </si>
  <si>
    <t>Mean Hourly Wage</t>
  </si>
  <si>
    <t>Years of Schooling</t>
  </si>
  <si>
    <t>Table 3.3</t>
  </si>
  <si>
    <t>Country</t>
  </si>
  <si>
    <t>Cellphone</t>
  </si>
  <si>
    <t>PCs</t>
  </si>
  <si>
    <t>Pcapincome</t>
  </si>
  <si>
    <t>ln Cellphone</t>
  </si>
  <si>
    <t>ln PC</t>
  </si>
  <si>
    <t>ln Income</t>
  </si>
  <si>
    <t>Argentina</t>
  </si>
  <si>
    <t>Australia</t>
  </si>
  <si>
    <t>Belgium</t>
  </si>
  <si>
    <t>Brazil</t>
  </si>
  <si>
    <t>Bulgaria</t>
  </si>
  <si>
    <t>China</t>
  </si>
  <si>
    <t>Colombia</t>
  </si>
  <si>
    <t>CzechRep</t>
  </si>
  <si>
    <t>Ecuador</t>
  </si>
  <si>
    <t>Egypt</t>
  </si>
  <si>
    <t>Greece</t>
  </si>
  <si>
    <t>Guatemala</t>
  </si>
  <si>
    <t>Hungary</t>
  </si>
  <si>
    <t>India</t>
  </si>
  <si>
    <t>Indonesia</t>
  </si>
  <si>
    <t>Mexico</t>
  </si>
  <si>
    <t>Netherlands</t>
  </si>
  <si>
    <t>Pakistan</t>
  </si>
  <si>
    <t>Poland</t>
  </si>
  <si>
    <t>Russia</t>
  </si>
  <si>
    <t>SaudiaArabia</t>
  </si>
  <si>
    <t>SouthAfrica</t>
  </si>
  <si>
    <t>Spain</t>
  </si>
  <si>
    <t>Sweden</t>
  </si>
  <si>
    <t>Switzerland</t>
  </si>
  <si>
    <t>Thailand</t>
  </si>
  <si>
    <t>Venezuela</t>
  </si>
  <si>
    <t>Table 3.5</t>
  </si>
  <si>
    <t>Ranks of 10 students on midterm</t>
  </si>
  <si>
    <t>and final examinations</t>
  </si>
  <si>
    <t>Midterm</t>
  </si>
  <si>
    <t>Endterm</t>
  </si>
  <si>
    <t xml:space="preserve"> TABLE 3.6.—Productivity and related data, business sector, 1960–2005</t>
  </si>
  <si>
    <t>[Index numbers, 1992=100; quarterly data seasonally adjusted]</t>
  </si>
  <si>
    <t>Year or quarter</t>
  </si>
  <si>
    <t>Output per hour of all persons</t>
  </si>
  <si>
    <t>Compensation per hour3</t>
  </si>
  <si>
    <t>Business sector</t>
  </si>
  <si>
    <t>Nonfarm business sector</t>
  </si>
  <si>
    <t>1 Output refers to real gross domestic product in the sector.</t>
  </si>
  <si>
    <t>3 Wages and salaries of employees plus employers' contributions for social insurance and private benefit plans. Also includes an estimate of wages, salaries, and supplemental payments for the self-employed.</t>
  </si>
  <si>
    <t>4 Hourly compensation divided by the consumer price index for all urban consumers for recent quarters. The trend from 1978–2005 is based on the consumer price index research series (CPI–U–RS).</t>
  </si>
  <si>
    <t>Source: Department of Labor, Bureau of Labor Statistics.</t>
  </si>
  <si>
    <t>TABLE 3.7 Consumer price indexes for major expenditure classes and NYSE Index, 1974–2006</t>
  </si>
  <si>
    <t>[For all urban consumers; 1982-84=100, except as noted]</t>
  </si>
  <si>
    <t>Gold Price</t>
  </si>
  <si>
    <t>NYSE</t>
  </si>
  <si>
    <t>CPI</t>
  </si>
  <si>
    <t>1 Includes alcoholic beverages, not shown separately.</t>
  </si>
  <si>
    <t>2 December 1997=100.</t>
  </si>
  <si>
    <t>3 Household fuels—gas (piped), electricity, fuel oil, etc.—and motor fuel. Motor oil, coolant, etc. also included through 1982.</t>
  </si>
  <si>
    <t>Note.—Data beginning 1983 incorporate a rental equivalence measure for homeowners' costs.</t>
  </si>
  <si>
    <t>Series reflect changes in composition and renaming beginning in 1998, and formula and methodology changes beginning in 1999.</t>
  </si>
  <si>
    <t>www.kitco.com</t>
  </si>
  <si>
    <t>TABLE 3.8 Nominal and Real Gross domestic product, 1959–2005</t>
  </si>
  <si>
    <t xml:space="preserve">[Billions of dollars, except as noted; </t>
  </si>
  <si>
    <t xml:space="preserve">quarterly data at seasonally adjusted annual rates]; </t>
  </si>
  <si>
    <t>RGDP in billions of chained (2000) dollars</t>
  </si>
  <si>
    <t>NGDP</t>
  </si>
  <si>
    <t>RGDP</t>
  </si>
  <si>
    <t>Table 5.5</t>
  </si>
  <si>
    <t>Average teacher salary and per</t>
  </si>
  <si>
    <t>pupil spending ($), by state, 1985</t>
  </si>
  <si>
    <t>SALARY</t>
  </si>
  <si>
    <t>SPENDING</t>
  </si>
  <si>
    <t>TABLE 5–6.GNP AND FOUR MEASURES OF MONEY STOCK 1990–2005</t>
  </si>
  <si>
    <t>[Billions of dollars, except as noted; quarterly data at seasonally adjusted annual rates]</t>
  </si>
  <si>
    <t>GNP</t>
  </si>
  <si>
    <t>M2</t>
  </si>
  <si>
    <t>M3</t>
  </si>
  <si>
    <t>L</t>
  </si>
  <si>
    <t>TABLE 5.9 THE HAMBURGER STANDARD</t>
  </si>
  <si>
    <t>COUNTRY</t>
  </si>
  <si>
    <t>BMACLC</t>
  </si>
  <si>
    <t>BMAC$</t>
  </si>
  <si>
    <t>Implied PPP* of the dollar</t>
  </si>
  <si>
    <t>Actual $ exchange rate Jan 31st, 2006</t>
  </si>
  <si>
    <t>Under (-)/over (+) valuation against the dollar, %</t>
  </si>
  <si>
    <t>United States</t>
  </si>
  <si>
    <t>Peso 8.25</t>
  </si>
  <si>
    <t>A $3.45</t>
  </si>
  <si>
    <t>Real 6.4</t>
  </si>
  <si>
    <t>Britain</t>
  </si>
  <si>
    <t>BP 1.99</t>
  </si>
  <si>
    <t>C$ 3.63</t>
  </si>
  <si>
    <t>Chile</t>
  </si>
  <si>
    <t>Peso 1,670</t>
  </si>
  <si>
    <t>Yuan 11.0</t>
  </si>
  <si>
    <t>Czech Republic</t>
  </si>
  <si>
    <t>Koruna 52.1</t>
  </si>
  <si>
    <t>Denmark</t>
  </si>
  <si>
    <t>DKr 27.75</t>
  </si>
  <si>
    <t>Pound 9.09</t>
  </si>
  <si>
    <t>Euro area*</t>
  </si>
  <si>
    <t>EU 2.94</t>
  </si>
  <si>
    <t>Hong Kong</t>
  </si>
  <si>
    <t>HK$12.0</t>
  </si>
  <si>
    <t>Forint 590</t>
  </si>
  <si>
    <t>Iceland</t>
  </si>
  <si>
    <t>Kronur 509</t>
  </si>
  <si>
    <t>Rupiah 15,900</t>
  </si>
  <si>
    <t>Yen 280</t>
  </si>
  <si>
    <t>Latvia</t>
  </si>
  <si>
    <t>Lats 1.35</t>
  </si>
  <si>
    <t>Malaysia</t>
  </si>
  <si>
    <t>Ringgit 5.50</t>
  </si>
  <si>
    <t>Peso 29.0</t>
  </si>
  <si>
    <t>New Zealand</t>
  </si>
  <si>
    <t>NZ$4.60</t>
  </si>
  <si>
    <t>Norway</t>
  </si>
  <si>
    <t>Kroner 41.5</t>
  </si>
  <si>
    <t>Rupee 140</t>
  </si>
  <si>
    <t>Paraguay</t>
  </si>
  <si>
    <t>Guarani 10,000</t>
  </si>
  <si>
    <t>Peru</t>
  </si>
  <si>
    <t>Philippines</t>
  </si>
  <si>
    <t>Peso 85.0</t>
  </si>
  <si>
    <t>Zloty 6.90</t>
  </si>
  <si>
    <t>Rouble 49.0</t>
  </si>
  <si>
    <t>Saudi Arabia</t>
  </si>
  <si>
    <t>Riyal 9.00</t>
  </si>
  <si>
    <t>Singapore</t>
  </si>
  <si>
    <t>S $3.60</t>
  </si>
  <si>
    <t>Slovakia</t>
  </si>
  <si>
    <t>Crown 57.98</t>
  </si>
  <si>
    <t>South Africa</t>
  </si>
  <si>
    <t>Rand 15.5</t>
  </si>
  <si>
    <t>South Korea</t>
  </si>
  <si>
    <t>Won 2900</t>
  </si>
  <si>
    <t>Sri Lanka</t>
  </si>
  <si>
    <t>Rupee 190</t>
  </si>
  <si>
    <t>SKr 32.0</t>
  </si>
  <si>
    <t>SFr 6.30</t>
  </si>
  <si>
    <t>Taiwan</t>
  </si>
  <si>
    <t>Baht 62.0</t>
  </si>
  <si>
    <t>Turkey</t>
  </si>
  <si>
    <t>Lire 4.55</t>
  </si>
  <si>
    <t>Ukraine</t>
  </si>
  <si>
    <t>Hryvnia 9.00</t>
  </si>
  <si>
    <t>Uruguay</t>
  </si>
  <si>
    <t>Peso 55.0</t>
  </si>
  <si>
    <t>Bolivar 6800</t>
  </si>
  <si>
    <t xml:space="preserve">1950-51   </t>
  </si>
  <si>
    <t xml:space="preserve">1951-52   </t>
  </si>
  <si>
    <t xml:space="preserve">1952-53   </t>
  </si>
  <si>
    <t xml:space="preserve">1953-54   </t>
  </si>
  <si>
    <t xml:space="preserve">1954-55   </t>
  </si>
  <si>
    <t xml:space="preserve">1955-56   </t>
  </si>
  <si>
    <t xml:space="preserve">1956-57   </t>
  </si>
  <si>
    <t xml:space="preserve">1957-58   </t>
  </si>
  <si>
    <t xml:space="preserve">1958-59   </t>
  </si>
  <si>
    <t xml:space="preserve">1959-60   </t>
  </si>
  <si>
    <t xml:space="preserve">1960-61   </t>
  </si>
  <si>
    <t xml:space="preserve">1961-62   </t>
  </si>
  <si>
    <t xml:space="preserve">1962-63   </t>
  </si>
  <si>
    <t xml:space="preserve">1963-64   </t>
  </si>
  <si>
    <t xml:space="preserve">1964-65   </t>
  </si>
  <si>
    <t xml:space="preserve">1965-66   </t>
  </si>
  <si>
    <t xml:space="preserve">1966-67   </t>
  </si>
  <si>
    <t xml:space="preserve">1967-68   </t>
  </si>
  <si>
    <t xml:space="preserve">1968-69   </t>
  </si>
  <si>
    <t xml:space="preserve">1969-70   </t>
  </si>
  <si>
    <t xml:space="preserve">1970-71   </t>
  </si>
  <si>
    <t xml:space="preserve">1971-72   </t>
  </si>
  <si>
    <t xml:space="preserve">1972-73   </t>
  </si>
  <si>
    <t xml:space="preserve">1973-74   </t>
  </si>
  <si>
    <t xml:space="preserve">1974-75   </t>
  </si>
  <si>
    <t xml:space="preserve">1975-76   </t>
  </si>
  <si>
    <t xml:space="preserve">1976-77   </t>
  </si>
  <si>
    <t xml:space="preserve">1977-78   </t>
  </si>
  <si>
    <t xml:space="preserve">1978-79   </t>
  </si>
  <si>
    <t xml:space="preserve">1979-80   </t>
  </si>
  <si>
    <t xml:space="preserve">1980-81   </t>
  </si>
  <si>
    <t xml:space="preserve">1981-82   </t>
  </si>
  <si>
    <t xml:space="preserve">1982-83   </t>
  </si>
  <si>
    <t xml:space="preserve">1983-84   </t>
  </si>
  <si>
    <t xml:space="preserve">1984-85   </t>
  </si>
  <si>
    <t xml:space="preserve">1985-86   </t>
  </si>
  <si>
    <t xml:space="preserve">1986-87   </t>
  </si>
  <si>
    <t xml:space="preserve">1987-88   </t>
  </si>
  <si>
    <t xml:space="preserve">1988-89   </t>
  </si>
  <si>
    <t xml:space="preserve">1989-90   </t>
  </si>
  <si>
    <t xml:space="preserve">1990-91   </t>
  </si>
  <si>
    <t xml:space="preserve">1991-92   </t>
  </si>
  <si>
    <t xml:space="preserve">1992-93   </t>
  </si>
  <si>
    <t xml:space="preserve">1993-94   </t>
  </si>
  <si>
    <t xml:space="preserve">1994-95   </t>
  </si>
  <si>
    <t xml:space="preserve">1995-96   </t>
  </si>
  <si>
    <t xml:space="preserve">1996-97   </t>
  </si>
  <si>
    <t xml:space="preserve">1997-98   </t>
  </si>
  <si>
    <t xml:space="preserve">1998-99   </t>
  </si>
  <si>
    <t xml:space="preserve">1999-00   </t>
  </si>
  <si>
    <t xml:space="preserve">2000-01   </t>
  </si>
  <si>
    <t xml:space="preserve">2001-02   </t>
  </si>
  <si>
    <t xml:space="preserve">2002-03   </t>
  </si>
  <si>
    <t xml:space="preserve">2003-04   </t>
  </si>
  <si>
    <t xml:space="preserve">2004-05   </t>
  </si>
  <si>
    <t>M0</t>
  </si>
  <si>
    <t>Table 5.10 CPI AND PPI, USA, 1980-2006</t>
  </si>
  <si>
    <t>PPI</t>
  </si>
  <si>
    <t>Table 5.11</t>
  </si>
  <si>
    <t>Occupational_Group</t>
  </si>
  <si>
    <t>Smoking</t>
  </si>
  <si>
    <t>Mortality</t>
  </si>
  <si>
    <t>Farmers, foresters, and fisherman</t>
  </si>
  <si>
    <t>Miners and quarrymen</t>
  </si>
  <si>
    <t>Gas, coke and chemical makers</t>
  </si>
  <si>
    <t>Glass and ceramics makers</t>
  </si>
  <si>
    <t>Furnace, forge, foundry, and rolling mill workers</t>
  </si>
  <si>
    <t>Electrical and electronics workers</t>
  </si>
  <si>
    <t>Engineering and allied trades</t>
  </si>
  <si>
    <t>Woodworkers</t>
  </si>
  <si>
    <t>Leather workers</t>
  </si>
  <si>
    <t>Textile workers</t>
  </si>
  <si>
    <t>Clothing workers</t>
  </si>
  <si>
    <t>Food, drink, and tobacco workers</t>
  </si>
  <si>
    <t>Paper and printing workers</t>
  </si>
  <si>
    <t>Makers of other products</t>
  </si>
  <si>
    <t>Construction workers</t>
  </si>
  <si>
    <t>Painters and decorators</t>
  </si>
  <si>
    <t>Drivers of stationary engines, cranes, etc.</t>
  </si>
  <si>
    <t>Laborers not included elsewhere</t>
  </si>
  <si>
    <t>Transport and communications workers</t>
  </si>
  <si>
    <t>Warehousemen, storekeepers, packers, and bottlers</t>
  </si>
  <si>
    <t>Clerical workers</t>
  </si>
  <si>
    <t>Sales workers</t>
  </si>
  <si>
    <t>Service, sport, and recreation workers</t>
  </si>
  <si>
    <t>Administrators and managers</t>
  </si>
  <si>
    <t>Professionals, technical workers, and artists</t>
  </si>
  <si>
    <t>Table 6.1</t>
  </si>
  <si>
    <t>Table 6.2</t>
  </si>
  <si>
    <t>GPDIBL</t>
  </si>
  <si>
    <t>GPDIM</t>
  </si>
  <si>
    <t>GDPB</t>
  </si>
  <si>
    <t>GDPM</t>
  </si>
  <si>
    <t>TABLE 6.3. TOTAL PERSONAL EXPENDITURE AND CATEGORIES</t>
  </si>
  <si>
    <t>[Billions of chained (2000) dollars; quarterly data at seasonally adjusted annual rates]</t>
  </si>
  <si>
    <t>EXPSERVICES</t>
  </si>
  <si>
    <t>EXPDUR</t>
  </si>
  <si>
    <t>EXPNONDUR</t>
  </si>
  <si>
    <t>PCEXP</t>
  </si>
  <si>
    <t xml:space="preserve">2003-I </t>
  </si>
  <si>
    <t xml:space="preserve">2003-II </t>
  </si>
  <si>
    <t xml:space="preserve">2003-III </t>
  </si>
  <si>
    <t>2003-IV</t>
  </si>
  <si>
    <t xml:space="preserve">2004-I </t>
  </si>
  <si>
    <t xml:space="preserve">2004-II </t>
  </si>
  <si>
    <t xml:space="preserve">2004-III </t>
  </si>
  <si>
    <t>2004-IV</t>
  </si>
  <si>
    <t xml:space="preserve">2005-I </t>
  </si>
  <si>
    <t xml:space="preserve">2005-II </t>
  </si>
  <si>
    <t xml:space="preserve">2005-III </t>
  </si>
  <si>
    <t xml:space="preserve">2005-IV  </t>
  </si>
  <si>
    <t xml:space="preserve">2006-I </t>
  </si>
  <si>
    <t xml:space="preserve">2006-II </t>
  </si>
  <si>
    <t xml:space="preserve">2006-III </t>
  </si>
  <si>
    <t>1 Includes other items not shown separately.</t>
  </si>
  <si>
    <t>2 Includes imputed rental value of owner-occupied housing.</t>
  </si>
  <si>
    <t>Note.—See Table B–2 for data for total personal consumption expenditures for 1959–89.</t>
  </si>
  <si>
    <t>Source: Department of Commerce, Bureau of Economic Analysis.</t>
  </si>
  <si>
    <t>Table 6.4</t>
  </si>
  <si>
    <t>CM</t>
  </si>
  <si>
    <t>FLR</t>
  </si>
  <si>
    <t>PGNP</t>
  </si>
  <si>
    <t>TFR</t>
  </si>
  <si>
    <t>Quarter</t>
  </si>
  <si>
    <t>Table 6.5</t>
  </si>
  <si>
    <t>INFLRATE</t>
  </si>
  <si>
    <t>UNRATE</t>
  </si>
  <si>
    <t>Table 6.8</t>
  </si>
  <si>
    <t>SAVRATE</t>
  </si>
  <si>
    <t>INVRATE</t>
  </si>
  <si>
    <t>Austria</t>
  </si>
  <si>
    <t>Finland</t>
  </si>
  <si>
    <t>Ireland</t>
  </si>
  <si>
    <t>Luxembourg</t>
  </si>
  <si>
    <t>U.K.</t>
  </si>
  <si>
    <t>U.S.</t>
  </si>
  <si>
    <t>Table 6.9</t>
  </si>
  <si>
    <t>wfood</t>
  </si>
  <si>
    <t>wfuel</t>
  </si>
  <si>
    <t>wcloth</t>
  </si>
  <si>
    <t>walc</t>
  </si>
  <si>
    <t>wtrans</t>
  </si>
  <si>
    <t>wother</t>
  </si>
  <si>
    <t>totexp</t>
  </si>
  <si>
    <t>income</t>
  </si>
  <si>
    <t>age</t>
  </si>
  <si>
    <t>nk</t>
  </si>
  <si>
    <t>food</t>
  </si>
  <si>
    <t>Table 6.10</t>
  </si>
  <si>
    <t>Exp</t>
  </si>
  <si>
    <t>Adexp</t>
  </si>
  <si>
    <t>Ratio</t>
  </si>
  <si>
    <t>ln Exp</t>
  </si>
  <si>
    <t>ln Adexp</t>
  </si>
  <si>
    <t>1/Exp</t>
  </si>
  <si>
    <t>1/Adexp</t>
  </si>
  <si>
    <t>Table 7.1</t>
  </si>
  <si>
    <t>U.S. Coffee Consumption in Relation to Average Real Retail</t>
  </si>
  <si>
    <t>Price, 1970-1980</t>
  </si>
  <si>
    <t>YEAR =</t>
  </si>
  <si>
    <t>Y    =</t>
  </si>
  <si>
    <t>U.S. Coffee Consumption, Cups Per Person Per Day</t>
  </si>
  <si>
    <t>X    =</t>
  </si>
  <si>
    <t>Average Real Retail Price, $ Per Pound</t>
  </si>
  <si>
    <t>YEAR</t>
  </si>
  <si>
    <t>Table 7.3</t>
  </si>
  <si>
    <t>Real gross product</t>
  </si>
  <si>
    <t>Labor days</t>
  </si>
  <si>
    <t>Real capital input</t>
  </si>
  <si>
    <t>(millions of NT$)</t>
  </si>
  <si>
    <t>(millions of days)</t>
  </si>
  <si>
    <t>X3</t>
  </si>
  <si>
    <t>Table 7.4</t>
  </si>
  <si>
    <t>Total Cost and Output</t>
  </si>
  <si>
    <t>Y =</t>
  </si>
  <si>
    <t>Total Cost, $</t>
  </si>
  <si>
    <t>X =</t>
  </si>
  <si>
    <t>Output</t>
  </si>
  <si>
    <t>Table 7.6</t>
  </si>
  <si>
    <t>Demand for Roses</t>
  </si>
  <si>
    <t>YEAR = Year and Quarter</t>
  </si>
  <si>
    <t>Y    = Quantity of RosesSold, Dozens</t>
  </si>
  <si>
    <t>X2   = Average WholesalePrice ofRoses, $Per Dozen</t>
  </si>
  <si>
    <t>X3   = Average WholesalePrice ofCarnations, $ Per Dozen</t>
  </si>
  <si>
    <t>X4   = Average Weekly Family Disposable Income, $ Per Week</t>
  </si>
  <si>
    <t>X5   = Trend Variable Taking Values of 1, 2, and so on, for the Period</t>
  </si>
  <si>
    <t>1971.3 to1975.3in the Detroit Metropolitan Area</t>
  </si>
  <si>
    <t>X4</t>
  </si>
  <si>
    <t>X5</t>
  </si>
  <si>
    <t>Table 7.7</t>
  </si>
  <si>
    <t>Price at the Wellhead</t>
  </si>
  <si>
    <t>Y  = Number of</t>
  </si>
  <si>
    <t>Wildcats Drilled, Thousands</t>
  </si>
  <si>
    <t>X2 = Per Barrel Price, In Constant $, 1972=100</t>
  </si>
  <si>
    <t>X3 = Domestic Output, Millions of Barrels Per Day</t>
  </si>
  <si>
    <t>X4 = GNP, Billions of Constant $, 1972=100</t>
  </si>
  <si>
    <t>X5 = Trend Variable, 1948=1, 1949=2,...,1978=31</t>
  </si>
  <si>
    <t>Table 7.8</t>
  </si>
  <si>
    <t>U.S. Defense Budget Outlays, 1962-1981</t>
  </si>
  <si>
    <t>Defense Budget-Outlays for Year T, $/Billions</t>
  </si>
  <si>
    <t>X2   =</t>
  </si>
  <si>
    <t>GNP for Year T, $/Billions</t>
  </si>
  <si>
    <t>X3   =</t>
  </si>
  <si>
    <t>U.S. Military Sales/Assistance in Year T, $/Billions</t>
  </si>
  <si>
    <t>X4   =</t>
  </si>
  <si>
    <t>Aerospace Industry Sales, $/Billions</t>
  </si>
  <si>
    <t>X5   =</t>
  </si>
  <si>
    <t>Military Conflicts Involving More Than 100,000 Troops.</t>
  </si>
  <si>
    <t>where: 0 = When Number of Troops is Under 100,000</t>
  </si>
  <si>
    <t>1 = When 100,000 or More Troops are Involved</t>
  </si>
  <si>
    <t>Table 7.9</t>
  </si>
  <si>
    <t>Demand for Chickens, United States, 1960-1982</t>
  </si>
  <si>
    <t>Per Capita Consumption of Chickens, Pounds</t>
  </si>
  <si>
    <t>Real Disposable Income Per Capita, $</t>
  </si>
  <si>
    <t>Real Retail Price of Chicken Per Pound, Cents</t>
  </si>
  <si>
    <t>Real Retail Price of Pork Per Pound, Cents</t>
  </si>
  <si>
    <t>Real Retail Price of Beef Per Pound, Cents</t>
  </si>
  <si>
    <t>X6</t>
  </si>
  <si>
    <t>Composite Real Price of Chicken Substitutes Per Pound, Cents</t>
  </si>
  <si>
    <t>Table 7.10</t>
  </si>
  <si>
    <t>Demand for Money in the USA, 1980-1998</t>
  </si>
  <si>
    <t>GDP</t>
  </si>
  <si>
    <t>LTRATE</t>
  </si>
  <si>
    <t>TBRATE</t>
  </si>
  <si>
    <t>Table 7.11</t>
  </si>
  <si>
    <t>Greek Industrial sector</t>
  </si>
  <si>
    <t>OUTPUT</t>
  </si>
  <si>
    <t>CAPITAL</t>
  </si>
  <si>
    <t>LABOR</t>
  </si>
  <si>
    <t>CLRATIO</t>
  </si>
  <si>
    <t xml:space="preserve">Table 7.12. Real Consumption Expenditure, Real Income, </t>
  </si>
  <si>
    <t>Real Wealth and Real Interest Rate for the US, 1944-2000.</t>
  </si>
  <si>
    <t>C</t>
  </si>
  <si>
    <t>Yd</t>
  </si>
  <si>
    <t>wealth</t>
  </si>
  <si>
    <t>interest</t>
  </si>
  <si>
    <t>Table 7.13</t>
  </si>
  <si>
    <t>Date</t>
  </si>
  <si>
    <t>time</t>
  </si>
  <si>
    <t>Close</t>
  </si>
  <si>
    <t>Table 8.8</t>
  </si>
  <si>
    <t>Real GDP Employment Fixed capital,</t>
  </si>
  <si>
    <t>Mexico, 1955-1972</t>
  </si>
  <si>
    <t>Employment</t>
  </si>
  <si>
    <t>Table 8.9</t>
  </si>
  <si>
    <t>Savings and personal disposable</t>
  </si>
  <si>
    <t>income, ($billions), US, 1970-1995</t>
  </si>
  <si>
    <t>SAVINGS</t>
  </si>
  <si>
    <t>INCOME</t>
  </si>
  <si>
    <t>Table 8.10</t>
  </si>
  <si>
    <t>X2, GNP</t>
  </si>
  <si>
    <t>X3, Housing Starts</t>
  </si>
  <si>
    <t>X4, Unemployment %</t>
  </si>
  <si>
    <t>X5, Prime Rate Lag, 6 mos.</t>
  </si>
  <si>
    <t>X6, Customer Line Gains, %</t>
  </si>
  <si>
    <t>Y, Annual Salary (MPF)</t>
  </si>
  <si>
    <t>Savings</t>
  </si>
  <si>
    <t>Income</t>
  </si>
  <si>
    <t>2 Percents based on data in millions of dollars.</t>
  </si>
  <si>
    <t>TABLE 9.1 AVERAGE SALARY OF PUBLIC SCHOOL TEACHERS BY STATE, 2005-2006</t>
  </si>
  <si>
    <t>Salary</t>
  </si>
  <si>
    <t>Spending</t>
  </si>
  <si>
    <t>D2</t>
  </si>
  <si>
    <t>D3</t>
  </si>
  <si>
    <t>Connecticut</t>
  </si>
  <si>
    <t>Illinois</t>
  </si>
  <si>
    <t>Indiana</t>
  </si>
  <si>
    <t>Iowa</t>
  </si>
  <si>
    <t>Kansas</t>
  </si>
  <si>
    <t>Maine</t>
  </si>
  <si>
    <t>Massachusetts</t>
  </si>
  <si>
    <t>Michigan</t>
  </si>
  <si>
    <t>Minnesota</t>
  </si>
  <si>
    <t>Missouri</t>
  </si>
  <si>
    <t>Nebraska</t>
  </si>
  <si>
    <t>New Hampshire</t>
  </si>
  <si>
    <t>New Jersey</t>
  </si>
  <si>
    <t>New York</t>
  </si>
  <si>
    <t>North Dakota</t>
  </si>
  <si>
    <t>Ohio</t>
  </si>
  <si>
    <t>Pennsylvania</t>
  </si>
  <si>
    <t>Rhode Island</t>
  </si>
  <si>
    <t>South Dakota</t>
  </si>
  <si>
    <t>Vermont</t>
  </si>
  <si>
    <t>Wisconsin</t>
  </si>
  <si>
    <t>Alabama</t>
  </si>
  <si>
    <t>Arkansas</t>
  </si>
  <si>
    <t>Delaware</t>
  </si>
  <si>
    <t>District of Columbia</t>
  </si>
  <si>
    <t>Florida</t>
  </si>
  <si>
    <t>Georgia</t>
  </si>
  <si>
    <t>Kentucky</t>
  </si>
  <si>
    <t>Louisiana</t>
  </si>
  <si>
    <t>Maryland</t>
  </si>
  <si>
    <t>Mississippi</t>
  </si>
  <si>
    <t>North Carolina</t>
  </si>
  <si>
    <t>Oklahoma</t>
  </si>
  <si>
    <t>South Carolina</t>
  </si>
  <si>
    <t>Tennessee</t>
  </si>
  <si>
    <t>Texas</t>
  </si>
  <si>
    <t>Virginia</t>
  </si>
  <si>
    <t>West Virginia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</si>
  <si>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</si>
  <si>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</si>
  <si>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</si>
  <si>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</si>
  <si>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</si>
  <si>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</si>
  <si>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</si>
  <si>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</si>
  <si>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</si>
  <si>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</si>
  <si>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</si>
  <si>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</si>
  <si>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</si>
  <si>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Table 9.2</t>
  </si>
  <si>
    <t>Savings and Income Data,</t>
  </si>
  <si>
    <t>USA, 1970-1995</t>
  </si>
  <si>
    <t>DUM</t>
  </si>
  <si>
    <t>Table 9.3</t>
  </si>
  <si>
    <t xml:space="preserve">Quartely data on Appliance sales ('000) and </t>
  </si>
  <si>
    <t>Expenditure on Durable goods (1978:I to 1985:4)</t>
  </si>
  <si>
    <t>DISH</t>
  </si>
  <si>
    <t>FRIG</t>
  </si>
  <si>
    <t>WASH</t>
  </si>
  <si>
    <t>DUR</t>
  </si>
  <si>
    <t>Table 9.4</t>
  </si>
  <si>
    <t>US Regrigerator Sales ('000), 1978-1995 (quarterly)</t>
  </si>
  <si>
    <t>D4</t>
  </si>
  <si>
    <t>Table 9.6</t>
  </si>
  <si>
    <t xml:space="preserve">Hypothetical data on </t>
  </si>
  <si>
    <t>output and total cost</t>
  </si>
  <si>
    <t>Total cost ($)</t>
  </si>
  <si>
    <t>Output (units)</t>
  </si>
  <si>
    <t>Table 9.7. Indian Wage Earners</t>
  </si>
  <si>
    <t>AGE</t>
  </si>
  <si>
    <t>DE2</t>
  </si>
  <si>
    <t>DE3</t>
  </si>
  <si>
    <t>DE4</t>
  </si>
  <si>
    <t>DPT</t>
  </si>
  <si>
    <t>DSEX</t>
  </si>
  <si>
    <t>Table 9.8</t>
  </si>
  <si>
    <t>Unemployment and job vacancy rates, UK</t>
  </si>
  <si>
    <t>UN</t>
  </si>
  <si>
    <t>V</t>
  </si>
  <si>
    <t>DUMV</t>
  </si>
  <si>
    <t>Table 9.9</t>
  </si>
  <si>
    <t>US Presidential Elections, 1916-2004</t>
  </si>
  <si>
    <t>W</t>
  </si>
  <si>
    <t>D</t>
  </si>
  <si>
    <t>G</t>
  </si>
  <si>
    <t>I</t>
  </si>
  <si>
    <t>N</t>
  </si>
  <si>
    <t>P</t>
  </si>
  <si>
    <t>Table 10.3</t>
  </si>
  <si>
    <t>Hypothetical Data on Y, X2 and X3</t>
  </si>
  <si>
    <t>Table 10.4</t>
  </si>
  <si>
    <t>Table 10.5</t>
  </si>
  <si>
    <t>Hypothetical Data on Consumption Expenditure,</t>
  </si>
  <si>
    <t>Income and Wealth</t>
  </si>
  <si>
    <t>Y  =</t>
  </si>
  <si>
    <t>Consumption Expenditure, $</t>
  </si>
  <si>
    <t>X2 =</t>
  </si>
  <si>
    <t>Income, $</t>
  </si>
  <si>
    <t>X3 =</t>
  </si>
  <si>
    <t>Wealth, $</t>
  </si>
  <si>
    <t>Table 10.7 US CONSUMPTION EXPENDITURE FOR THE PERIOD 1947-2000</t>
  </si>
  <si>
    <t>Table 10.8</t>
  </si>
  <si>
    <t>Longley Data</t>
  </si>
  <si>
    <t>TIME</t>
  </si>
  <si>
    <t>Table 10.11</t>
  </si>
  <si>
    <t>Hypothetical Data</t>
  </si>
  <si>
    <t>Imports</t>
  </si>
  <si>
    <t>TABLE 10.13. U.S. IMPORTS, GDP, AND CPI, 1975–2005</t>
  </si>
  <si>
    <t>Table 10.14</t>
  </si>
  <si>
    <t>New Passenger Cars Sold, United States</t>
  </si>
  <si>
    <t>New Passenger Cars Sold, Seasonally Unadjusted, Thousands</t>
  </si>
  <si>
    <t>New Cars, Consumer Price Index, 1967=100, Seasonally Unadjusted</t>
  </si>
  <si>
    <t>Consumer Price Index, All Items, All Urban Consumers, 1967=100,</t>
  </si>
  <si>
    <t>Seasonally Unadjusted</t>
  </si>
  <si>
    <t>Personal Disposable Income, Unadjusted for Seasonal Variation,</t>
  </si>
  <si>
    <t>Billions of $</t>
  </si>
  <si>
    <t>Interest Rate, Finance Company Paper Placed Directly, Percent</t>
  </si>
  <si>
    <t>X6   =</t>
  </si>
  <si>
    <t>Employed Civilian Labor Force, Unadjusted for Seasonal Variation,</t>
  </si>
  <si>
    <t>Thousands</t>
  </si>
  <si>
    <t>Table 10.15</t>
  </si>
  <si>
    <t>Hours of work and other data for 35 groups</t>
  </si>
  <si>
    <t>HRS</t>
  </si>
  <si>
    <t>RATE</t>
  </si>
  <si>
    <t>ERSP</t>
  </si>
  <si>
    <t>ERNO</t>
  </si>
  <si>
    <t>NEIN</t>
  </si>
  <si>
    <t>ASSET</t>
  </si>
  <si>
    <t>DEP</t>
  </si>
  <si>
    <t>SCHOOL</t>
  </si>
  <si>
    <t>Table 10.16</t>
  </si>
  <si>
    <t>R</t>
  </si>
  <si>
    <t>S</t>
  </si>
  <si>
    <t>ED</t>
  </si>
  <si>
    <t>EX0</t>
  </si>
  <si>
    <t>EX1</t>
  </si>
  <si>
    <t>LF</t>
  </si>
  <si>
    <t>Table 10.17</t>
  </si>
  <si>
    <t>Observation</t>
  </si>
  <si>
    <t>Table 10.18: For problem 10.34</t>
  </si>
  <si>
    <t>TASTE</t>
  </si>
  <si>
    <t>ACETIC</t>
  </si>
  <si>
    <t>H2S</t>
  </si>
  <si>
    <t>LACTIC</t>
  </si>
  <si>
    <t>Table 11.1</t>
  </si>
  <si>
    <t>Compensation Per Employee ($) in Nondurable Manufacturing</t>
  </si>
  <si>
    <t>Industries According to Employment Size of Establishment, 1958</t>
  </si>
  <si>
    <t>IND = Industry</t>
  </si>
  <si>
    <t>where: 1=Food and Kindred Products</t>
  </si>
  <si>
    <t xml:space="preserve">       2=Tobacco Products</t>
  </si>
  <si>
    <t xml:space="preserve">       3=Textile Mill Products</t>
  </si>
  <si>
    <t xml:space="preserve">       4=Apparel and Related Products</t>
  </si>
  <si>
    <t xml:space="preserve">       5=Paper and Allied Products</t>
  </si>
  <si>
    <t xml:space="preserve">       6=Printing and Publishing</t>
  </si>
  <si>
    <t xml:space="preserve">       7=Chemicals and Allied Products</t>
  </si>
  <si>
    <t xml:space="preserve">       8=Petroleum and Coal Products</t>
  </si>
  <si>
    <t xml:space="preserve">       9=Rubber and Plastic Products</t>
  </si>
  <si>
    <t xml:space="preserve">       10=Leather and Leather Products</t>
  </si>
  <si>
    <t xml:space="preserve">       11=Average Compensation</t>
  </si>
  <si>
    <t xml:space="preserve">       12=Standard Deviation</t>
  </si>
  <si>
    <t xml:space="preserve">       13=Average Productivity</t>
  </si>
  <si>
    <t>EMPLOYMENT SIZE = Average Number of Employees</t>
  </si>
  <si>
    <t xml:space="preserve">                  where: A=1 to 4</t>
  </si>
  <si>
    <t xml:space="preserve">                         B=5 to 9</t>
  </si>
  <si>
    <t xml:space="preserve">                         C=10 to 19</t>
  </si>
  <si>
    <t xml:space="preserve">                         D=20 to 49</t>
  </si>
  <si>
    <t xml:space="preserve">                         E=50 to 99</t>
  </si>
  <si>
    <t xml:space="preserve">                         F=100 to 249</t>
  </si>
  <si>
    <t xml:space="preserve">                         G=250 to 499</t>
  </si>
  <si>
    <t xml:space="preserve">                         H=500 to 999</t>
  </si>
  <si>
    <t xml:space="preserve">                         I=1000 to 2499</t>
  </si>
  <si>
    <t>IND</t>
  </si>
  <si>
    <t>A</t>
  </si>
  <si>
    <t>B</t>
  </si>
  <si>
    <t>E</t>
  </si>
  <si>
    <t>F</t>
  </si>
  <si>
    <t>H</t>
  </si>
  <si>
    <t>10281.00 1</t>
  </si>
  <si>
    <t>Table 11.3</t>
  </si>
  <si>
    <t>Hypothetical Data on Consumption Expenditure and Income</t>
  </si>
  <si>
    <t>Y  = Consumption Expenditure, $</t>
  </si>
  <si>
    <t>X  = Income, $</t>
  </si>
  <si>
    <t>RY = Consumption Expenditure Ranked by X Values</t>
  </si>
  <si>
    <t>RX = Ranked Income</t>
  </si>
  <si>
    <t>RY</t>
  </si>
  <si>
    <t>RX</t>
  </si>
  <si>
    <t>Table 11.5</t>
  </si>
  <si>
    <t>R&amp;D Expenditure in the USA, 1988 ($,millions)</t>
  </si>
  <si>
    <t>SALES</t>
  </si>
  <si>
    <t>RD</t>
  </si>
  <si>
    <t>PROFITS</t>
  </si>
  <si>
    <t>Table 11.6</t>
  </si>
  <si>
    <t>ATTEND</t>
  </si>
  <si>
    <t>EXPP</t>
  </si>
  <si>
    <t>PASSING</t>
  </si>
  <si>
    <t>PROPERTY</t>
  </si>
  <si>
    <t>STUDENTS</t>
  </si>
  <si>
    <t>WELFARE</t>
  </si>
  <si>
    <t>Table 11.7</t>
  </si>
  <si>
    <t>Passenger Car Mileage Data</t>
  </si>
  <si>
    <t>HP</t>
  </si>
  <si>
    <t>MPG</t>
  </si>
  <si>
    <t>MPGF</t>
  </si>
  <si>
    <t>VOL</t>
  </si>
  <si>
    <t>WT</t>
  </si>
  <si>
    <t>SP</t>
  </si>
  <si>
    <t>Table 11.8</t>
  </si>
  <si>
    <t>MEDIAN SALARIES OF FULL PROFESSORS IN STATISTICS, 2007</t>
  </si>
  <si>
    <t>Years in Rank</t>
  </si>
  <si>
    <t>Year^2</t>
  </si>
  <si>
    <t>Count</t>
  </si>
  <si>
    <t>Median</t>
  </si>
  <si>
    <t>0 to 1</t>
  </si>
  <si>
    <t>2 to 3</t>
  </si>
  <si>
    <t>4 to 5</t>
  </si>
  <si>
    <t>6 to 7</t>
  </si>
  <si>
    <t>8 to 9</t>
  </si>
  <si>
    <t>10 to 14</t>
  </si>
  <si>
    <t>15 to 19</t>
  </si>
  <si>
    <t>20 to 24</t>
  </si>
  <si>
    <t>25 to 30</t>
  </si>
  <si>
    <t>31 or more</t>
  </si>
  <si>
    <t>Source: American Statistical Association, "2007 Salary Report"</t>
  </si>
  <si>
    <t>Table 11.9</t>
  </si>
  <si>
    <t>Stock Prices and Consumer Prices, Post-World War II Period,</t>
  </si>
  <si>
    <t>Through 1969</t>
  </si>
  <si>
    <t>-</t>
  </si>
  <si>
    <t>COUNTRY = Country</t>
  </si>
  <si>
    <t>Y = Rate of Change, Stock Prices, Percent Per Year</t>
  </si>
  <si>
    <t>X = Rate of Change, Consumer Prices, Percent Per Year</t>
  </si>
  <si>
    <t>Germany          1</t>
  </si>
  <si>
    <t>Israel</t>
  </si>
  <si>
    <t>4.73.</t>
  </si>
  <si>
    <t>United Kingdom</t>
  </si>
  <si>
    <t>Table 11.10</t>
  </si>
  <si>
    <t>salary</t>
  </si>
  <si>
    <t>totcomp</t>
  </si>
  <si>
    <t>tenure</t>
  </si>
  <si>
    <t>sales</t>
  </si>
  <si>
    <t>profits</t>
  </si>
  <si>
    <t>assets</t>
  </si>
  <si>
    <t>Table 12.4</t>
  </si>
  <si>
    <t>Table 12.7</t>
  </si>
  <si>
    <t>Determinants of U.S. Domestic Price of Copper, 1951-1980</t>
  </si>
  <si>
    <t>YEAR = Year</t>
  </si>
  <si>
    <t>C = Twelve-Month AverageU.S. Domestic Price of Copper, Cents Per Pound</t>
  </si>
  <si>
    <t>G = Annual Gross National Product, Billions of $</t>
  </si>
  <si>
    <t>I = Twelve-Month AverageIndex of Industrial Production</t>
  </si>
  <si>
    <t>L = Twelve-Month AverageLondonMetal Exchange Price of Copper, Pounds Sterling</t>
  </si>
  <si>
    <t>H = Number of Housing Starts perYear, Thousands ofUnits</t>
  </si>
  <si>
    <t>A = Twelve-Month AveragePrice of Aluminum, Cents Per Pound</t>
  </si>
  <si>
    <t>Table 12.8</t>
  </si>
  <si>
    <t>Y = Personal Consumption Expenditure, Billions of 1958 $</t>
  </si>
  <si>
    <t>X = Time, 1=1956...15=1970</t>
  </si>
  <si>
    <t>YHAT = Estimated Y*</t>
  </si>
  <si>
    <t>U = Residuals</t>
  </si>
  <si>
    <t>YHAT</t>
  </si>
  <si>
    <t>U</t>
  </si>
  <si>
    <t>Table 12.9  Inventories and Sales in US Manufacturing, 1950-1991 (millions of dollars)</t>
  </si>
  <si>
    <t>Sales</t>
  </si>
  <si>
    <t>Inventories</t>
  </si>
  <si>
    <t>Table 12.10</t>
  </si>
  <si>
    <t>RR</t>
  </si>
  <si>
    <t>Growth</t>
  </si>
  <si>
    <t>Inflation</t>
  </si>
  <si>
    <t>Table 13.2</t>
  </si>
  <si>
    <t>Hypothetical Data on True Consumption Expenditure, True Income,</t>
  </si>
  <si>
    <t>Measured Consumption Expenditure and Measured Income</t>
  </si>
  <si>
    <t>Y* = True Consumption Expenditure, $</t>
  </si>
  <si>
    <t>X* = True Income, $</t>
  </si>
  <si>
    <t>Y  = Measure Consumption Expenditure, $</t>
  </si>
  <si>
    <t>X  = Measured Income, $</t>
  </si>
  <si>
    <t>E  = Stochastic Error Term</t>
  </si>
  <si>
    <t>W  = Stochastic Error Term</t>
  </si>
  <si>
    <t>U  = Stochastic Error Term</t>
  </si>
  <si>
    <t>Y*</t>
  </si>
  <si>
    <t>X*</t>
  </si>
  <si>
    <t xml:space="preserve">TABLE 13.3 </t>
  </si>
  <si>
    <t>PER CAPITA PERSONAL CONSUMPTION EXPENDITURE (PPCE) AND</t>
  </si>
  <si>
    <t>PER CAPITA PERSONAL DISPOSABLE INCOME (PDPI), U.S., 1970-2005</t>
  </si>
  <si>
    <t>PPCE</t>
  </si>
  <si>
    <t>PDPI</t>
  </si>
  <si>
    <t>Table 14.1</t>
  </si>
  <si>
    <t>Management Fee Schedule of a Mutual Fund</t>
  </si>
  <si>
    <t>Y = Fee (%)</t>
  </si>
  <si>
    <t>X = Net Asset Value ($, billions)</t>
  </si>
  <si>
    <t xml:space="preserve">Table 14.2 </t>
  </si>
  <si>
    <t>POPULATION</t>
  </si>
  <si>
    <t>Source: Economic Report of the President, 2008</t>
  </si>
  <si>
    <t>Table 14.3</t>
  </si>
  <si>
    <t>Production Function Data for the Mexican Economy</t>
  </si>
  <si>
    <t>Labor</t>
  </si>
  <si>
    <t>Capital</t>
  </si>
  <si>
    <t>Table 14.4</t>
  </si>
  <si>
    <t xml:space="preserve">    YSTAR</t>
  </si>
  <si>
    <t xml:space="preserve">         X2</t>
  </si>
  <si>
    <t>Table 15.1</t>
  </si>
  <si>
    <t>Hypothetical Data on Home Ownership and Income</t>
  </si>
  <si>
    <t>FAMILY = Family</t>
  </si>
  <si>
    <t>Y = Home Ownership</t>
  </si>
  <si>
    <t>where 1 = Owns a House</t>
  </si>
  <si>
    <t>0 = Does Not Own a House</t>
  </si>
  <si>
    <t>X = Family Income, Thousands of $</t>
  </si>
  <si>
    <t>FAMILY</t>
  </si>
  <si>
    <t>Table 15.2</t>
  </si>
  <si>
    <t>Actual Y, Estimated Y and Weights Wi for the Home Ownership</t>
  </si>
  <si>
    <t>Example</t>
  </si>
  <si>
    <t>Y       = Actual Y</t>
  </si>
  <si>
    <t>YHAT    = Esimated Y</t>
  </si>
  <si>
    <t>WHAT**  = Weights</t>
  </si>
  <si>
    <t>SQRTW   = Square Root Weights</t>
  </si>
  <si>
    <t>Note: -99999 = No Value Given</t>
  </si>
  <si>
    <t>WHAT**</t>
  </si>
  <si>
    <t>SQRTW</t>
  </si>
  <si>
    <t>Table 15.4</t>
  </si>
  <si>
    <t>Hypothetical Data on Income, Number of Families at Income Xi and Number of Families Owning a House</t>
  </si>
  <si>
    <t>X = Income, Thousands of $</t>
  </si>
  <si>
    <t>N = Number of Families at Income, Xi</t>
  </si>
  <si>
    <t>n = Number of Families Owning a House</t>
  </si>
  <si>
    <t>n</t>
  </si>
  <si>
    <t>Table 15.7</t>
  </si>
  <si>
    <t>Data on the Effect of Personalized System of Instruction</t>
  </si>
  <si>
    <t>(PSI) on Course Grades</t>
  </si>
  <si>
    <t>OBS = Observation</t>
  </si>
  <si>
    <t>GPA = Entering Grade Point Average</t>
  </si>
  <si>
    <t>TUCE = Score on an Examination Given at the Beginning of the Term to Test Entering Knowledge of Macroeconomics</t>
  </si>
  <si>
    <t>PSI = Personal System of Instruction</t>
  </si>
  <si>
    <t>where: PSI = 1 if the new method is used</t>
  </si>
  <si>
    <t xml:space="preserve">                = 0 otherwise</t>
  </si>
  <si>
    <t>GRADE = 1 if the Letter Grade is A</t>
  </si>
  <si>
    <t xml:space="preserve">            0 Otherwise</t>
  </si>
  <si>
    <t>LETTER = Letter Grade</t>
  </si>
  <si>
    <t>OBS</t>
  </si>
  <si>
    <t>GPA</t>
  </si>
  <si>
    <t>TUCE</t>
  </si>
  <si>
    <t>PSI</t>
  </si>
  <si>
    <t>GRADE</t>
  </si>
  <si>
    <t>LETTER</t>
  </si>
  <si>
    <t>Table 15.10</t>
  </si>
  <si>
    <t>Estimating the Index I from the Standard Normal CDF</t>
  </si>
  <si>
    <t>P = PHAT</t>
  </si>
  <si>
    <t>I = F-1*PHAT(inverse of normal CDF)</t>
  </si>
  <si>
    <t>Table 15.22</t>
  </si>
  <si>
    <t>Concentration</t>
  </si>
  <si>
    <t>Death</t>
  </si>
  <si>
    <t>log (X)</t>
  </si>
  <si>
    <t>Ni</t>
  </si>
  <si>
    <t>ni</t>
  </si>
  <si>
    <t>p-hat I</t>
  </si>
  <si>
    <t>Table 15.23</t>
  </si>
  <si>
    <t>Applicants to a Graduate Program</t>
  </si>
  <si>
    <t>STUDENT = Student Number</t>
  </si>
  <si>
    <t>Q = GRE Aptitude Test Score - Quantitative</t>
  </si>
  <si>
    <t>V = GRE Aptitude Test Score - Verbal</t>
  </si>
  <si>
    <t>ADMIT = Admitted to Graduate Program</t>
  </si>
  <si>
    <t>where:</t>
  </si>
  <si>
    <t>1=Yes</t>
  </si>
  <si>
    <t>0=No</t>
  </si>
  <si>
    <t>STUDENT</t>
  </si>
  <si>
    <t>Q</t>
  </si>
  <si>
    <t>ADMIT</t>
  </si>
  <si>
    <t>Table 15.26</t>
  </si>
  <si>
    <t>Hypothetical Data Set Generated by the Model</t>
  </si>
  <si>
    <t>Y=-1+3X+e and Y*=1 if Y&gt;0</t>
  </si>
  <si>
    <t>Y = -1 + 3X + e</t>
  </si>
  <si>
    <t>Y*= 1 if Y&gt;0</t>
  </si>
  <si>
    <t>X  = X</t>
  </si>
  <si>
    <t>Table 15.27</t>
  </si>
  <si>
    <t>c1</t>
  </si>
  <si>
    <t>c2</t>
  </si>
  <si>
    <t>u</t>
  </si>
  <si>
    <t>v</t>
  </si>
  <si>
    <t>county</t>
  </si>
  <si>
    <t>education</t>
  </si>
  <si>
    <t>married</t>
  </si>
  <si>
    <t>children</t>
  </si>
  <si>
    <t>select</t>
  </si>
  <si>
    <t>wagefull</t>
  </si>
  <si>
    <t>wage</t>
  </si>
  <si>
    <t>lw</t>
  </si>
  <si>
    <t>work</t>
  </si>
  <si>
    <t>lwf</t>
  </si>
  <si>
    <t>Table 15.28</t>
  </si>
  <si>
    <t>AGEEDUC</t>
  </si>
  <si>
    <t>EDUC</t>
  </si>
  <si>
    <t>PCIGS79</t>
  </si>
  <si>
    <t>SMOKER</t>
  </si>
  <si>
    <t>EDU*INC</t>
  </si>
  <si>
    <t>Table 15.29</t>
  </si>
  <si>
    <t>Cancer</t>
  </si>
  <si>
    <t>Age</t>
  </si>
  <si>
    <t>HIGD</t>
  </si>
  <si>
    <t>Degree</t>
  </si>
  <si>
    <t>CHK</t>
  </si>
  <si>
    <t>AGPI</t>
  </si>
  <si>
    <t>MenAge</t>
  </si>
  <si>
    <t>Miscarriages</t>
  </si>
  <si>
    <t>Births</t>
  </si>
  <si>
    <t>Weight</t>
  </si>
  <si>
    <t>AgePeriod</t>
  </si>
  <si>
    <t>Marital Status</t>
  </si>
  <si>
    <t>Table 16.1</t>
  </si>
  <si>
    <t>T</t>
  </si>
  <si>
    <t>PF</t>
  </si>
  <si>
    <t>ln_C</t>
  </si>
  <si>
    <t>ln_Q</t>
  </si>
  <si>
    <t>ln_PF</t>
  </si>
  <si>
    <t>ln_LF</t>
  </si>
  <si>
    <t>Table 16.17</t>
  </si>
  <si>
    <t>Ctry_Code</t>
  </si>
  <si>
    <t>LGASPCAR</t>
  </si>
  <si>
    <t>LINCOMEP</t>
  </si>
  <si>
    <t>LRPMG</t>
  </si>
  <si>
    <t xml:space="preserve">LCARPCAP </t>
  </si>
  <si>
    <t>AUSTRIA</t>
  </si>
  <si>
    <t>BELGIUM</t>
  </si>
  <si>
    <t>CANADA</t>
  </si>
  <si>
    <t>DENMARK</t>
  </si>
  <si>
    <t>FRANCE</t>
  </si>
  <si>
    <t>GERMANY</t>
  </si>
  <si>
    <t>GREECE</t>
  </si>
  <si>
    <t>IRELAND</t>
  </si>
  <si>
    <t>ITALY</t>
  </si>
  <si>
    <t>JAPAN</t>
  </si>
  <si>
    <t>NETHERLA</t>
  </si>
  <si>
    <t>NORWAY</t>
  </si>
  <si>
    <t>SPAIN</t>
  </si>
  <si>
    <t>SWEDEN</t>
  </si>
  <si>
    <t>SWITZERL</t>
  </si>
  <si>
    <t>TURKEY</t>
  </si>
  <si>
    <t>U.S.A.</t>
  </si>
  <si>
    <t>Table 16.18</t>
  </si>
  <si>
    <t>countryid</t>
  </si>
  <si>
    <t>country</t>
  </si>
  <si>
    <t>Cntry_Code</t>
  </si>
  <si>
    <t>year</t>
  </si>
  <si>
    <t>aidcap</t>
  </si>
  <si>
    <t>raidcap</t>
  </si>
  <si>
    <t>infmort</t>
  </si>
  <si>
    <t>infmort_2</t>
  </si>
  <si>
    <t>pop</t>
  </si>
  <si>
    <t>raid</t>
  </si>
  <si>
    <t>civlib</t>
  </si>
  <si>
    <t>polright</t>
  </si>
  <si>
    <t>civil/PolRts</t>
  </si>
  <si>
    <t>goveff</t>
  </si>
  <si>
    <t>regqual</t>
  </si>
  <si>
    <t>rgdpcap1</t>
  </si>
  <si>
    <t>rgdpcap</t>
  </si>
  <si>
    <t>rgdcap_2</t>
  </si>
  <si>
    <t>popmil</t>
  </si>
  <si>
    <t>popmil_2</t>
  </si>
  <si>
    <t>deflator</t>
  </si>
  <si>
    <t>y1</t>
  </si>
  <si>
    <t>y2</t>
  </si>
  <si>
    <t>y3</t>
  </si>
  <si>
    <t>Albania</t>
  </si>
  <si>
    <t>Algeria</t>
  </si>
  <si>
    <t>Angola</t>
  </si>
  <si>
    <t>Armenia</t>
  </si>
  <si>
    <t>Azerbaijan</t>
  </si>
  <si>
    <t>Bahamas, The</t>
  </si>
  <si>
    <t>Bahrain</t>
  </si>
  <si>
    <t>Bangladesh</t>
  </si>
  <si>
    <t>Belarus</t>
  </si>
  <si>
    <t>Belize</t>
  </si>
  <si>
    <t>Benin</t>
  </si>
  <si>
    <t>Bolivia</t>
  </si>
  <si>
    <t>Botswana</t>
  </si>
  <si>
    <t>Burkina Faso</t>
  </si>
  <si>
    <t>Burundi</t>
  </si>
  <si>
    <t>Cambodia</t>
  </si>
  <si>
    <t>Cameroon</t>
  </si>
  <si>
    <t>Cape Verde</t>
  </si>
  <si>
    <t>Central African Republic</t>
  </si>
  <si>
    <t>Chad</t>
  </si>
  <si>
    <t>Comoros</t>
  </si>
  <si>
    <t>Congo, Dem. Rep.</t>
  </si>
  <si>
    <t>Congo, Rep.</t>
  </si>
  <si>
    <t>Costa Rica</t>
  </si>
  <si>
    <t>Cote d'Ivoire</t>
  </si>
  <si>
    <t>Croatia</t>
  </si>
  <si>
    <t>Djibouti</t>
  </si>
  <si>
    <t>Dominica</t>
  </si>
  <si>
    <t>Dominican Republic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</si>
  <si>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</si>
  <si>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</si>
  <si>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</si>
  <si>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</si>
  <si>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</si>
  <si>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</si>
  <si>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</si>
  <si>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Gabon</t>
  </si>
  <si>
    <t>Gambia, The</t>
  </si>
  <si>
    <t>Ghana</t>
  </si>
  <si>
    <t>Grenada</t>
  </si>
  <si>
    <t>Guinea</t>
  </si>
  <si>
    <t>Guinea-Bissau</t>
  </si>
  <si>
    <t>Guyana</t>
  </si>
  <si>
    <t>Haiti</t>
  </si>
  <si>
    <t>Honduras</t>
  </si>
  <si>
    <t>Iran, Islamic Rep.</t>
  </si>
  <si>
    <t>Jamaica</t>
  </si>
  <si>
    <t>Jordan</t>
  </si>
  <si>
    <t>Kazakhstan</t>
  </si>
  <si>
    <t>Kenya</t>
  </si>
  <si>
    <t>Kuwait</t>
  </si>
  <si>
    <t>Kyrgyz Republic</t>
  </si>
  <si>
    <t>Lao PDR</t>
  </si>
  <si>
    <t>Lebanon</t>
  </si>
  <si>
    <t>Lesotho</t>
  </si>
  <si>
    <t>Lithuania</t>
  </si>
  <si>
    <t>Macedonia, FYR</t>
  </si>
  <si>
    <t>Madagascar</t>
  </si>
  <si>
    <t>Malawi</t>
  </si>
  <si>
    <t>Mali</t>
  </si>
  <si>
    <t>Malta</t>
  </si>
  <si>
    <t>Mauritania</t>
  </si>
  <si>
    <t>Mauritius</t>
  </si>
  <si>
    <t>Moldova</t>
  </si>
  <si>
    <t>Mongolia</t>
  </si>
  <si>
    <t>Morocco</t>
  </si>
  <si>
    <t>Mozambique</t>
  </si>
  <si>
    <t>Namibia</t>
  </si>
  <si>
    <t>Nepal</t>
  </si>
  <si>
    <t>Nicaragua</t>
  </si>
  <si>
    <t>Niger</t>
  </si>
  <si>
    <t>Nigeria</t>
  </si>
  <si>
    <t>Oman</t>
  </si>
  <si>
    <t>Panama</t>
  </si>
  <si>
    <t>Papua New Guinea</t>
  </si>
  <si>
    <t>Romania</t>
  </si>
  <si>
    <t>Russian Federation</t>
  </si>
  <si>
    <t>Rwanda</t>
  </si>
  <si>
    <t>Samoa</t>
  </si>
  <si>
    <t>Senegal</t>
  </si>
  <si>
    <t>Seychelles</t>
  </si>
  <si>
    <t>Sierra Leone</t>
  </si>
  <si>
    <t>Slovak Republic</t>
  </si>
  <si>
    <t>Slovenia</t>
  </si>
  <si>
    <t>Solomon Islands</t>
  </si>
  <si>
    <t>St. Kitts and Nevis</t>
  </si>
  <si>
    <t>St. Lucia</t>
  </si>
  <si>
    <t>St. Vincent and the Grenadines</t>
  </si>
  <si>
    <t>Sudan</t>
  </si>
  <si>
    <t>Swaziland</t>
  </si>
  <si>
    <t>Syrian Arab Republic</t>
  </si>
  <si>
    <t>Tajikistan</t>
  </si>
  <si>
    <t>Tanzania</t>
  </si>
  <si>
    <t>Togo</t>
  </si>
  <si>
    <t>Tonga</t>
  </si>
  <si>
    <t>Tunisia</t>
  </si>
  <si>
    <t>Turkmenistan</t>
  </si>
  <si>
    <t>Uganda</t>
  </si>
  <si>
    <t>Uzbekistan</t>
  </si>
  <si>
    <t>Vanuatu</t>
  </si>
  <si>
    <t>Venezuela, RB</t>
  </si>
  <si>
    <t>Vietnam</t>
  </si>
  <si>
    <t>Yemen, Rep.</t>
  </si>
  <si>
    <t>Zambia</t>
  </si>
  <si>
    <t>Zimbabwe</t>
  </si>
  <si>
    <t>TABLE 17.2  PPCE and PPDI, 1959–2007</t>
  </si>
  <si>
    <t>PPDI</t>
  </si>
  <si>
    <t>Money, Interest Rate, Price Index and GDP, Canada</t>
  </si>
  <si>
    <t>Table 17.7</t>
  </si>
  <si>
    <t>Private consumption expenditure and GDP, Sri Lanka</t>
  </si>
  <si>
    <t>PCON</t>
  </si>
  <si>
    <t>Table 17.8</t>
  </si>
  <si>
    <t>Inventories ans Sales, US Manufacturing, 1954-1999</t>
  </si>
  <si>
    <t>YEAR  INVENTORY SALES</t>
  </si>
  <si>
    <t>Table 17.10</t>
  </si>
  <si>
    <t>Investment in FixedPlant and Equipment in Manufacturing</t>
  </si>
  <si>
    <t>and Manufacturing Sales, United States, 1970-1991</t>
  </si>
  <si>
    <t>Y = Plant Expenditure, Seasonally Adjusted, Billions of $</t>
  </si>
  <si>
    <t>X2 = Manufacturing Sales, Seasonally Adjusted, Billions of $</t>
  </si>
  <si>
    <t>Table 17.11</t>
  </si>
  <si>
    <t>Investments,Sales,Interest rate, US, 1960-1999</t>
  </si>
  <si>
    <t>INVESTMENT</t>
  </si>
  <si>
    <t>INTEREST</t>
  </si>
  <si>
    <t>Table 17.12</t>
  </si>
  <si>
    <t>Compensation,Productivity and Unemployment</t>
  </si>
  <si>
    <t>rate, USA, 1960-1999</t>
  </si>
  <si>
    <t>COMPENS</t>
  </si>
  <si>
    <t>PRODUC</t>
  </si>
  <si>
    <t>Table 17.13 MACROECONOMIC DATA FOR THE GREEK ECONOMY, 1960-1995.</t>
  </si>
  <si>
    <t>PC</t>
  </si>
  <si>
    <t>PDI</t>
  </si>
  <si>
    <t>Grossinv</t>
  </si>
  <si>
    <t>LTI</t>
  </si>
  <si>
    <t xml:space="preserve">Source: H.R. Seddighi, K.A. Lawler, and A. V. Katos, Econometrics: A Practical Approach, </t>
  </si>
  <si>
    <t>Routledge, London, 2000, p.158.</t>
  </si>
  <si>
    <t xml:space="preserve">Note: All nominal data are expressed at constant market prices of year 1970 in millions of drachmas. </t>
  </si>
  <si>
    <t xml:space="preserve">Private disposable income is deflated by the consumption price deflator.  </t>
  </si>
  <si>
    <t>TABLE 18.2  PERSONAL CONSUMPTION EXPENDITURE, GROSS PRIVATE DOMESTIC INVESTMENT,</t>
  </si>
  <si>
    <t>AND GDP, UNITED STATES, 1970-2006 (Billions of 1996 Dollars)</t>
  </si>
  <si>
    <t>Table 18.3</t>
  </si>
  <si>
    <t>YR:QTR</t>
  </si>
  <si>
    <t>CARSALES</t>
  </si>
  <si>
    <t>PERSINCOME</t>
  </si>
  <si>
    <t>PRICEGAS</t>
  </si>
  <si>
    <t>QUANTGAS</t>
  </si>
  <si>
    <t>Table 18.4</t>
  </si>
  <si>
    <t>qtr</t>
  </si>
  <si>
    <t>realgdp</t>
  </si>
  <si>
    <t>realcons</t>
  </si>
  <si>
    <t>realinvs</t>
  </si>
  <si>
    <t>realgovt</t>
  </si>
  <si>
    <t>realdpi</t>
  </si>
  <si>
    <t>cpi_u</t>
  </si>
  <si>
    <t>tbilrate</t>
  </si>
  <si>
    <t>unemp</t>
  </si>
  <si>
    <t>infl</t>
  </si>
  <si>
    <t>realint</t>
  </si>
  <si>
    <t>TABLE 19.4  MONEY, GDP, INTEREST RATE, AND CONSUMER PRICE INDEX, UNITED STATES, 1970-2006</t>
  </si>
  <si>
    <t>Notes: M2 = M2 money supply (billions of dollars)</t>
  </si>
  <si>
    <t xml:space="preserve">        GDP= gross domestic product (billions of dollars)</t>
  </si>
  <si>
    <t xml:space="preserve">         TBRATE = 3-month treasury bill rate, %</t>
  </si>
  <si>
    <t xml:space="preserve">         CPI = Consumer Price Index (1982-1984 = 100)</t>
  </si>
  <si>
    <t>Source: Economic Report of the President, 2007, Tables B-2, B-60, B-69, B-73</t>
  </si>
  <si>
    <t>TABLE 20.1  CROP PRODUCTION, CROP PRICES, AND PER CAPITA PERSONAL</t>
  </si>
  <si>
    <t>CONSUMPTION EXPENDITURES, 2007 DOLLARS, UNITED STATES, 1975-2004</t>
  </si>
  <si>
    <t>Index of crop production (1996 = 100), Q</t>
  </si>
  <si>
    <t>Index of crop prices received by farmers (1990-1992 = 100), P</t>
  </si>
  <si>
    <t>Real per capita personal consumption expenditure, X</t>
  </si>
  <si>
    <t>Source: Economic Report of the President, 2007. Data on Q (Table B-99), on P (Table B-101), and on X (Table B-31)</t>
  </si>
  <si>
    <t>TABLE 20.2  GDP, M2, FEDEXP, TB6, USA, 1970-2005</t>
  </si>
  <si>
    <t>GDP (Y1)</t>
  </si>
  <si>
    <t>M2 (Y2)</t>
  </si>
  <si>
    <t>GPDI (X1)</t>
  </si>
  <si>
    <t>FEDEXP (X2)</t>
  </si>
  <si>
    <t>TB6 (X3)</t>
  </si>
  <si>
    <t>Notes: Y1 = GDP = gross domestic product (billions of chained 2000 dollars)</t>
  </si>
  <si>
    <t xml:space="preserve">        Y2 = M2 = M2 money supply (billions of dollars)</t>
  </si>
  <si>
    <t xml:space="preserve">        X1 = GPDI = gross private domestic investment (billions of chained 2000 dollars)</t>
  </si>
  <si>
    <t xml:space="preserve">        X2 = FEDEXP = Federal government expenditure (billions of dollars)</t>
  </si>
  <si>
    <t xml:space="preserve">        X3 = TB6 = 6-month treasury bill rate (%)</t>
  </si>
  <si>
    <t>Source: Economic Report of the President, 2007, Tables B-2, B-69, B-84, B-73</t>
  </si>
  <si>
    <t>Table 20.5</t>
  </si>
  <si>
    <t>Underlying Data for Klein's Model I</t>
  </si>
  <si>
    <t>C*</t>
  </si>
  <si>
    <t>K-1</t>
  </si>
  <si>
    <t>W'</t>
  </si>
  <si>
    <t>Table 20.10</t>
  </si>
  <si>
    <t>Variable names in order from left to right:</t>
  </si>
  <si>
    <t>EDUCATION: Number of years of education.</t>
  </si>
  <si>
    <t xml:space="preserve">SOUTH: Indicator variable for Southern Region (1=Person lives in </t>
  </si>
  <si>
    <t>South, 0=Person lives elsewhere).</t>
  </si>
  <si>
    <t>SEX: Indicator variable for sex (1=Female, 0=Male).</t>
  </si>
  <si>
    <t>EXPERIENCE: Number of years of work experience.</t>
  </si>
  <si>
    <t xml:space="preserve">UNION: Indicator variable for union membership (1=Union member, </t>
  </si>
  <si>
    <t>0=Not union member).</t>
  </si>
  <si>
    <t>WAGE: Wage (dollars per hour).</t>
  </si>
  <si>
    <t>AGE: Age (years).</t>
  </si>
  <si>
    <t>RACE: Race (1=Other, 2=Hispanic, 3=White).</t>
  </si>
  <si>
    <t xml:space="preserve">OCCUPATION: Occupational category (1=Management, </t>
  </si>
  <si>
    <t>2=Sales, 3=Clerical, 4=Service, 5=Professional, 6=Other).</t>
  </si>
  <si>
    <t>SECTOR: Sector (0=Other, 1=Manufacturing, 2=Construction).</t>
  </si>
  <si>
    <t>MARR: Marital Status (0=Unmarried,  1=Married)</t>
  </si>
  <si>
    <t>source: http://lib.stat.cmu.edu/datasets/CPS_85_Wages</t>
  </si>
  <si>
    <t>Educ</t>
  </si>
  <si>
    <t>South</t>
  </si>
  <si>
    <t>Sex</t>
  </si>
  <si>
    <t>Union</t>
  </si>
  <si>
    <t>Wage</t>
  </si>
  <si>
    <t>Race</t>
  </si>
  <si>
    <t>Occup</t>
  </si>
  <si>
    <t>Sector</t>
  </si>
  <si>
    <t>Marr</t>
  </si>
  <si>
    <t>Table 21.1. Disposable Personal Income, U.S., Quarterly Data from 1947-2007.</t>
  </si>
  <si>
    <t>DPI</t>
  </si>
  <si>
    <t>PCE</t>
  </si>
  <si>
    <t>CP</t>
  </si>
  <si>
    <t>DIVIDEND</t>
  </si>
  <si>
    <t>Table 22.5</t>
  </si>
  <si>
    <t>Help wanted Index and the</t>
  </si>
  <si>
    <t>Unemployment rate, USA, January 1969 to January 2000</t>
  </si>
  <si>
    <t>HWI = Help-Wanted Index</t>
  </si>
  <si>
    <t>UNRATE = Unemployment rate (%)</t>
  </si>
  <si>
    <t>Time: 1  = January 1969</t>
  </si>
  <si>
    <t xml:space="preserve">     373 = January 2000</t>
  </si>
  <si>
    <t>HWI</t>
  </si>
  <si>
    <t>Table 22.6</t>
  </si>
  <si>
    <t>Yen Exchange Rate</t>
  </si>
  <si>
    <t>Yen</t>
  </si>
  <si>
    <t>exchange</t>
  </si>
  <si>
    <t>Time</t>
  </si>
  <si>
    <t>Table 22.7</t>
  </si>
  <si>
    <t>TB3M</t>
  </si>
  <si>
    <t>TB6M</t>
  </si>
  <si>
    <t>TABLE E-1</t>
  </si>
  <si>
    <t>U.S. CIVILIAN LABOR FORCE PARTICIPATION RATE (CLFPR),</t>
  </si>
  <si>
    <t>CIVILIAN UNEMPLOYMENT RATE (CUNR), AND REAL AVERAGE</t>
  </si>
  <si>
    <t>HOURLY EARNINGS (AHE82) FOR THE YEARS 1980-2002</t>
  </si>
  <si>
    <t>CLFPR</t>
  </si>
  <si>
    <t>CUNR</t>
  </si>
  <si>
    <t>AHE82</t>
  </si>
  <si>
    <t>Table I.1</t>
  </si>
  <si>
    <t>PCE(Y)</t>
  </si>
  <si>
    <t>GDP(X)</t>
  </si>
  <si>
    <t>Table 17.5</t>
  </si>
  <si>
    <t>Year-Quarter</t>
  </si>
  <si>
    <t>State</t>
  </si>
  <si>
    <t>SDR</t>
  </si>
  <si>
    <t>US Dollar</t>
  </si>
  <si>
    <t>Pound Sterling</t>
  </si>
  <si>
    <t>Deutsche Mark/Euro</t>
  </si>
  <si>
    <t>Japanese Yen @</t>
  </si>
  <si>
    <t>Average</t>
  </si>
  <si>
    <t>End-year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</si>
  <si>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</si>
  <si>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</si>
  <si>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</si>
  <si>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</si>
  <si>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</si>
  <si>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</si>
  <si>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</si>
  <si>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</si>
  <si>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</si>
  <si>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</si>
  <si>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</si>
  <si>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</si>
  <si>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</si>
  <si>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</si>
  <si>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</si>
  <si>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</si>
  <si>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</si>
  <si>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</si>
  <si>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</si>
  <si>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</si>
  <si>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</si>
  <si>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</si>
  <si>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</si>
  <si>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</si>
  <si>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</si>
  <si>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</si>
  <si>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</si>
  <si>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</si>
  <si>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</si>
  <si>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23.2863*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</si>
  <si>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</si>
  <si>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</si>
  <si>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</si>
  <si>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</si>
  <si>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</si>
  <si>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</si>
  <si>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</si>
  <si>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</si>
  <si>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</si>
  <si>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US</t>
  </si>
  <si>
    <t>AHE</t>
  </si>
  <si>
    <t>Sensex</t>
  </si>
  <si>
    <t>WPI</t>
  </si>
  <si>
    <t>2008-09</t>
  </si>
  <si>
    <t>2009-10</t>
  </si>
  <si>
    <t>?</t>
  </si>
  <si>
    <t>TABLE 40 : CONSUMER PRICE INDEX - ANNUAL AVERAGE</t>
  </si>
  <si>
    <t>Index (Average of months)</t>
  </si>
  <si>
    <t>IW</t>
  </si>
  <si>
    <t>IW-Food</t>
  </si>
  <si>
    <t>UNME</t>
  </si>
  <si>
    <t>(Base : 1960 = 100)</t>
  </si>
  <si>
    <t>(Base : 1982 =100 for IW and 1984-85 =100 for UNME)</t>
  </si>
  <si>
    <t>(Base : 1986-87 = 100 for AL)</t>
  </si>
  <si>
    <t>(Base: 2001 = 100 for IW)</t>
  </si>
  <si>
    <t>IW:Industrial workers.    </t>
  </si>
  <si>
    <t>UNME: Urban non-manual employees.    </t>
  </si>
  <si>
    <t>AL : Agricultural labourers.</t>
  </si>
  <si>
    <t>Note : Base: 2001 =100 for CPI(IW). Data at the new base were reported beginning January 2006 ; the conversion factor is 4.63 for the 'General Index' and 4.58 for the 'Food Group'.</t>
  </si>
  <si>
    <t>Source:1.Labour Bureau, Ministry of Labour and Employment, Government of India.</t>
  </si>
  <si>
    <t>2.Central Statistical Organisation, Ministry of Statistics and Programme Implementation, Government of India.</t>
  </si>
  <si>
    <t>x</t>
  </si>
  <si>
    <t>1951-52</t>
  </si>
  <si>
    <t>1952-53</t>
  </si>
  <si>
    <t>1953-54</t>
  </si>
  <si>
    <t>1954-55</t>
  </si>
  <si>
    <t>1955-56</t>
  </si>
  <si>
    <t>1956-57</t>
  </si>
  <si>
    <t>1957-58</t>
  </si>
  <si>
    <t>1958-59</t>
  </si>
  <si>
    <t>1959-60</t>
  </si>
  <si>
    <t>1960-61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</si>
  <si>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</si>
  <si>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</si>
  <si>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</si>
  <si>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</si>
  <si>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</si>
  <si>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</si>
  <si>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</si>
  <si>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</si>
  <si>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</si>
  <si>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GDS</t>
  </si>
  <si>
    <t>ExpNonDur</t>
  </si>
  <si>
    <t>ExpDur</t>
  </si>
  <si>
    <t>ExpServ</t>
  </si>
  <si>
    <t>PFCE</t>
  </si>
  <si>
    <t>Labor Productivity in Indian Industries</t>
  </si>
  <si>
    <t>State = State in India</t>
  </si>
  <si>
    <t>Y1 = Labor productivity in 2007-08, in Rs. Lakhs per worker</t>
  </si>
  <si>
    <t>Y2 =  Labor productivity in 2008-09, in Rs. Lakhs per worker</t>
  </si>
  <si>
    <t>X1 = Wages given to workers in 2007-08, in Rs. Lakhs</t>
  </si>
  <si>
    <t>X2 = Wages given to workers in 2008-09, in Rs. Lakhs</t>
  </si>
  <si>
    <t>Andaman &amp; Nicobar</t>
  </si>
  <si>
    <t>Andhra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</si>
  <si>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</si>
  <si>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</si>
  <si>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</si>
  <si>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</si>
  <si>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</si>
  <si>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</si>
  <si>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</si>
  <si>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</si>
  <si>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</si>
  <si>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</si>
  <si>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</si>
  <si>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</si>
  <si>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</si>
  <si>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</si>
  <si>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</si>
  <si>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</si>
  <si>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</si>
  <si>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</si>
  <si>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</si>
  <si>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</si>
  <si>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Orissa</t>
  </si>
  <si>
    <t>Puducherry</t>
  </si>
  <si>
    <t>Punjab</t>
  </si>
  <si>
    <t>Rajasthan</t>
  </si>
  <si>
    <t>Tamil Nadu</t>
  </si>
  <si>
    <t>Tripura</t>
  </si>
  <si>
    <t>Uttar Pradesh</t>
  </si>
  <si>
    <t>Uttarakhand</t>
  </si>
  <si>
    <t>West Bengal</t>
  </si>
  <si>
    <t xml:space="preserve">2007-08   </t>
  </si>
  <si>
    <t xml:space="preserve">2006-07   </t>
  </si>
  <si>
    <t xml:space="preserve">2005-06   </t>
  </si>
  <si>
    <t>GNP at Market Prices</t>
  </si>
  <si>
    <t xml:space="preserve">1995-96 </t>
  </si>
  <si>
    <t>2010-11</t>
  </si>
  <si>
    <t>2011-12</t>
  </si>
  <si>
    <t>2012-13</t>
  </si>
  <si>
    <t xml:space="preserve">2013-14   </t>
  </si>
  <si>
    <t>2014-15</t>
  </si>
  <si>
    <t>2015-16</t>
  </si>
  <si>
    <t>2016-17</t>
  </si>
  <si>
    <t>2017-18</t>
  </si>
  <si>
    <t>2018-19</t>
  </si>
  <si>
    <t>2019-20</t>
  </si>
  <si>
    <t>Reserve Money (M0)</t>
  </si>
  <si>
    <t>Narrow Money (M1)</t>
  </si>
  <si>
    <t>Broad Money (M3)</t>
  </si>
  <si>
    <t>NewSol 9.50</t>
  </si>
  <si>
    <t>NT$ 75.0</t>
  </si>
  <si>
    <t>BigMac</t>
  </si>
  <si>
    <t>Currancy</t>
  </si>
  <si>
    <t>Peso</t>
  </si>
  <si>
    <t>Real</t>
  </si>
  <si>
    <t>BP</t>
  </si>
  <si>
    <t>C$</t>
  </si>
  <si>
    <t>Yuan</t>
  </si>
  <si>
    <t>Koruna</t>
  </si>
  <si>
    <t>DKr</t>
  </si>
  <si>
    <t>Pound</t>
  </si>
  <si>
    <t>EU</t>
  </si>
  <si>
    <t>Forint</t>
  </si>
  <si>
    <t>Kronur</t>
  </si>
  <si>
    <t>Rupiah</t>
  </si>
  <si>
    <t>Lats</t>
  </si>
  <si>
    <t>Ringgit</t>
  </si>
  <si>
    <t>Kroner</t>
  </si>
  <si>
    <t>Rupee</t>
  </si>
  <si>
    <t>Guarani</t>
  </si>
  <si>
    <t>NewSol</t>
  </si>
  <si>
    <t>Zloty</t>
  </si>
  <si>
    <t>Rouble</t>
  </si>
  <si>
    <t>Riyal</t>
  </si>
  <si>
    <t>Crown</t>
  </si>
  <si>
    <t>Rand</t>
  </si>
  <si>
    <t>Won</t>
  </si>
  <si>
    <t>SKr</t>
  </si>
  <si>
    <t>SFr</t>
  </si>
  <si>
    <t>NT$</t>
  </si>
  <si>
    <t>Baht</t>
  </si>
  <si>
    <t>Lire</t>
  </si>
  <si>
    <t>Hryvnia</t>
  </si>
  <si>
    <t>Bolivar</t>
  </si>
  <si>
    <t>Implied_PPP*_of_the_dollar</t>
  </si>
  <si>
    <t>Actual_$_exchange_rate_Jan_31st_2006</t>
  </si>
  <si>
    <t>%Over_or_under_valuation_against_US$</t>
  </si>
  <si>
    <t>Table8.11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</si>
</sst>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#,##0.0"/>
    <numFmt numFmtId="165" formatCode="#,##0.0000"/>
    <numFmt numFmtId="166" formatCode="#,##0.000"/>
    <numFmt numFmtId="167" formatCode="mmm\-yyyy"/>
    <numFmt numFmtId="168" formatCode="0;\-0"/>
    <numFmt numFmtId="169" formatCode="0.0000;[Red]0.0000"/>
    <numFmt numFmtId="170" formatCode="0.0"/>
  </numFmts>
  <fonts count="38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8"/>
      <name val="News Gothic MT"/>
      <family val="2"/>
    </font>
    <font>
      <sz val="8"/>
      <name val="News Gothic Condensed"/>
    </font>
    <font>
      <sz val="10"/>
      <name val="News Gothic Condensed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3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2.5"/>
      <color indexed="12"/>
      <name val="Arial"/>
      <family val="2"/>
    </font>
    <font>
      <sz val="11"/>
      <color indexed="13"/>
      <name val="Calibri"/>
      <family val="2"/>
    </font>
    <font>
      <sz val="11"/>
      <color indexed="16"/>
      <name val="Calibri"/>
      <family val="2"/>
    </font>
    <font>
      <b/>
      <sz val="11"/>
      <color indexed="17"/>
      <name val="Calibri"/>
      <family val="2"/>
    </font>
    <font>
      <b/>
      <sz val="18"/>
      <color indexed="18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6"/>
      <name val="News Gothic Condensed"/>
    </font>
    <font>
      <sz val="9"/>
      <name val="News Gothic Condensed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News Gothic Condensed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 Unicode MS"/>
      <family val="2"/>
    </font>
    <font>
      <sz val="11"/>
      <color rgb="FF33333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19"/>
      </patternFill>
    </fill>
    <fill>
      <patternFill patternType="solid">
        <fgColor indexed="20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21"/>
      </patternFill>
    </fill>
    <fill>
      <patternFill patternType="solid">
        <fgColor indexed="23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17"/>
      </left>
      <right style="double">
        <color indexed="17"/>
      </right>
      <top style="double">
        <color indexed="17"/>
      </top>
      <bottom style="double">
        <color indexed="17"/>
      </bottom>
      <diagonal/>
    </border>
    <border>
      <left/>
      <right/>
      <top/>
      <bottom style="thick">
        <color indexed="2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19"/>
      </bottom>
      <diagonal/>
    </border>
    <border>
      <left/>
      <right/>
      <top/>
      <bottom style="double">
        <color indexed="1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/>
      <top style="thin">
        <color indexed="20"/>
      </top>
      <bottom style="double">
        <color indexed="2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0">
    <xf numFmtId="0" fontId="0" fillId="0" borderId="0"/>
    <xf numFmtId="0" fontId="1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3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2" borderId="0" applyNumberFormat="0" applyBorder="0" applyAlignment="0" applyProtection="0"/>
    <xf numFmtId="0" fontId="11" fillId="2" borderId="10" applyNumberFormat="0" applyAlignment="0" applyProtection="0"/>
    <xf numFmtId="0" fontId="12" fillId="10" borderId="11" applyNumberFormat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0" borderId="12" applyNumberFormat="0" applyFill="0" applyAlignment="0" applyProtection="0"/>
    <xf numFmtId="0" fontId="16" fillId="0" borderId="13" applyNumberFormat="0" applyFill="0" applyAlignment="0" applyProtection="0"/>
    <xf numFmtId="0" fontId="17" fillId="0" borderId="14" applyNumberFormat="0" applyFill="0" applyAlignment="0" applyProtection="0"/>
    <xf numFmtId="0" fontId="17" fillId="0" borderId="0" applyNumberFormat="0" applyFill="0" applyBorder="0" applyAlignment="0" applyProtection="0"/>
    <xf numFmtId="0" fontId="10" fillId="2" borderId="10" applyNumberFormat="0" applyAlignment="0" applyProtection="0"/>
    <xf numFmtId="0" fontId="19" fillId="0" borderId="15" applyNumberFormat="0" applyFill="0" applyAlignment="0" applyProtection="0"/>
    <xf numFmtId="0" fontId="20" fillId="2" borderId="0" applyNumberFormat="0" applyBorder="0" applyAlignment="0" applyProtection="0"/>
    <xf numFmtId="0" fontId="7" fillId="2" borderId="16" applyNumberFormat="0" applyFont="0" applyAlignment="0" applyProtection="0"/>
    <xf numFmtId="0" fontId="21" fillId="2" borderId="17" applyNumberFormat="0" applyAlignment="0" applyProtection="0"/>
    <xf numFmtId="0" fontId="22" fillId="0" borderId="0" applyNumberFormat="0" applyFill="0" applyBorder="0" applyAlignment="0" applyProtection="0"/>
    <xf numFmtId="0" fontId="23" fillId="0" borderId="18" applyNumberFormat="0" applyFill="0" applyAlignment="0" applyProtection="0"/>
    <xf numFmtId="0" fontId="24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34" fillId="0" borderId="0"/>
    <xf numFmtId="0" fontId="35" fillId="0" borderId="0"/>
  </cellStyleXfs>
  <cellXfs count="111">
    <xf numFmtId="0" fontId="0" fillId="0" borderId="0" xfId="0"/>
    <xf numFmtId="0" fontId="1" fillId="0" borderId="0" xfId="1"/>
    <xf numFmtId="0" fontId="2" fillId="0" borderId="0" xfId="2"/>
    <xf numFmtId="0" fontId="2" fillId="0" borderId="0" xfId="2" applyAlignment="1">
      <alignment horizontal="center"/>
    </xf>
    <xf numFmtId="164" fontId="3" fillId="0" borderId="1" xfId="2" applyNumberFormat="1" applyFont="1" applyBorder="1" applyAlignment="1">
      <alignment horizontal="right" vertical="top" wrapText="1"/>
    </xf>
    <xf numFmtId="0" fontId="2" fillId="0" borderId="0" xfId="2" applyFont="1" applyAlignment="1">
      <alignment horizontal="center"/>
    </xf>
    <xf numFmtId="1" fontId="3" fillId="0" borderId="0" xfId="2" quotePrefix="1" applyNumberFormat="1" applyFont="1" applyAlignment="1">
      <alignment horizontal="right" vertical="top" wrapText="1"/>
    </xf>
    <xf numFmtId="0" fontId="4" fillId="0" borderId="0" xfId="0" applyFont="1" applyAlignment="1">
      <alignment horizontal="centerContinuous" vertical="top" wrapText="1"/>
    </xf>
    <xf numFmtId="0" fontId="5" fillId="0" borderId="0" xfId="0" applyFont="1" applyAlignment="1">
      <alignment horizontal="centerContinuous" vertical="top" wrapText="1"/>
    </xf>
    <xf numFmtId="0" fontId="4" fillId="0" borderId="2" xfId="0" applyFont="1" applyBorder="1" applyAlignment="1">
      <alignment horizontal="center" vertical="center" wrapText="1"/>
    </xf>
    <xf numFmtId="49" fontId="4" fillId="0" borderId="3" xfId="0" quotePrefix="1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right" vertical="top" wrapText="1"/>
    </xf>
    <xf numFmtId="4" fontId="4" fillId="0" borderId="1" xfId="0" applyNumberFormat="1" applyFont="1" applyBorder="1" applyAlignment="1">
      <alignment horizontal="right" vertical="top" wrapText="1"/>
    </xf>
    <xf numFmtId="166" fontId="4" fillId="0" borderId="1" xfId="0" applyNumberFormat="1" applyFont="1" applyBorder="1" applyAlignment="1">
      <alignment horizontal="right" vertical="top" wrapText="1"/>
    </xf>
    <xf numFmtId="1" fontId="4" fillId="0" borderId="0" xfId="0" quotePrefix="1" applyNumberFormat="1" applyFont="1" applyAlignment="1">
      <alignment horizontal="right" vertical="top" wrapText="1"/>
    </xf>
    <xf numFmtId="1" fontId="0" fillId="0" borderId="0" xfId="0" applyNumberFormat="1"/>
    <xf numFmtId="0" fontId="6" fillId="0" borderId="0" xfId="3" applyAlignment="1" applyProtection="1"/>
    <xf numFmtId="167" fontId="0" fillId="0" borderId="0" xfId="0" applyNumberFormat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0" fillId="0" borderId="0" xfId="0" applyAlignment="1">
      <alignment horizontal="right"/>
    </xf>
    <xf numFmtId="1" fontId="1" fillId="0" borderId="0" xfId="1" applyNumberFormat="1" applyAlignment="1">
      <alignment horizontal="center"/>
    </xf>
    <xf numFmtId="0" fontId="1" fillId="0" borderId="0" xfId="1"/>
    <xf numFmtId="0" fontId="1" fillId="0" borderId="0" xfId="1"/>
    <xf numFmtId="0" fontId="1" fillId="0" borderId="0" xfId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1" fontId="1" fillId="0" borderId="6" xfId="1" applyNumberFormat="1" applyBorder="1" applyAlignment="1">
      <alignment horizontal="center"/>
    </xf>
    <xf numFmtId="0" fontId="1" fillId="0" borderId="0" xfId="1"/>
    <xf numFmtId="0" fontId="1" fillId="0" borderId="7" xfId="1" applyBorder="1"/>
    <xf numFmtId="0" fontId="1" fillId="0" borderId="6" xfId="1" applyBorder="1"/>
    <xf numFmtId="0" fontId="1" fillId="0" borderId="0" xfId="1" applyFill="1" applyBorder="1"/>
    <xf numFmtId="0" fontId="1" fillId="0" borderId="2" xfId="1" applyBorder="1"/>
    <xf numFmtId="0" fontId="1" fillId="0" borderId="8" xfId="1" applyBorder="1"/>
    <xf numFmtId="0" fontId="1" fillId="0" borderId="9" xfId="1" applyBorder="1"/>
    <xf numFmtId="0" fontId="1" fillId="0" borderId="0" xfId="1" applyBorder="1"/>
    <xf numFmtId="0" fontId="1" fillId="0" borderId="0" xfId="1"/>
    <xf numFmtId="0" fontId="1" fillId="0" borderId="4" xfId="1" applyBorder="1"/>
    <xf numFmtId="0" fontId="4" fillId="0" borderId="0" xfId="4" applyFont="1" applyBorder="1" applyAlignment="1">
      <alignment horizontal="centerContinuous" vertical="top" wrapText="1"/>
    </xf>
    <xf numFmtId="0" fontId="7" fillId="0" borderId="0" xfId="4"/>
    <xf numFmtId="0" fontId="4" fillId="0" borderId="0" xfId="4" applyFont="1" applyBorder="1" applyAlignment="1">
      <alignment vertical="top" wrapText="1"/>
    </xf>
    <xf numFmtId="49" fontId="4" fillId="0" borderId="0" xfId="4" applyNumberFormat="1" applyFont="1" applyBorder="1" applyAlignment="1">
      <alignment vertical="top" wrapText="1"/>
    </xf>
    <xf numFmtId="49" fontId="4" fillId="0" borderId="19" xfId="4" applyNumberFormat="1" applyFont="1" applyBorder="1" applyAlignment="1">
      <alignment vertical="top" wrapText="1"/>
    </xf>
    <xf numFmtId="164" fontId="4" fillId="0" borderId="1" xfId="4" applyNumberFormat="1" applyFont="1" applyBorder="1" applyAlignment="1">
      <alignment horizontal="right" vertical="top" wrapText="1"/>
    </xf>
    <xf numFmtId="0" fontId="4" fillId="0" borderId="0" xfId="4" quotePrefix="1" applyFont="1" applyAlignment="1">
      <alignment horizontal="center" vertical="top" wrapText="1"/>
    </xf>
    <xf numFmtId="0" fontId="5" fillId="0" borderId="1" xfId="4" applyFont="1" applyBorder="1" applyAlignment="1">
      <alignment vertical="top" wrapText="1"/>
    </xf>
    <xf numFmtId="0" fontId="4" fillId="0" borderId="3" xfId="4" applyFont="1" applyBorder="1" applyAlignment="1">
      <alignment horizontal="center" vertical="center" wrapText="1"/>
    </xf>
    <xf numFmtId="0" fontId="26" fillId="0" borderId="4" xfId="4" applyFont="1" applyBorder="1" applyAlignment="1">
      <alignment horizontal="centerContinuous" vertical="center" wrapText="1"/>
    </xf>
    <xf numFmtId="49" fontId="4" fillId="0" borderId="3" xfId="4" quotePrefix="1" applyNumberFormat="1" applyFont="1" applyBorder="1" applyAlignment="1">
      <alignment horizontal="centerContinuous" vertical="center" wrapText="1"/>
    </xf>
    <xf numFmtId="0" fontId="5" fillId="0" borderId="2" xfId="4" applyFont="1" applyBorder="1" applyAlignment="1">
      <alignment horizontal="centerContinuous" vertical="center" wrapText="1"/>
    </xf>
    <xf numFmtId="0" fontId="4" fillId="0" borderId="3" xfId="4" applyFont="1" applyBorder="1" applyAlignment="1">
      <alignment horizontal="centerContinuous" vertical="center" wrapText="1"/>
    </xf>
    <xf numFmtId="0" fontId="4" fillId="0" borderId="19" xfId="4" applyFont="1" applyBorder="1" applyAlignment="1">
      <alignment horizontal="centerContinuous" vertical="center" wrapText="1"/>
    </xf>
    <xf numFmtId="0" fontId="5" fillId="0" borderId="0" xfId="4" applyFont="1" applyBorder="1" applyAlignment="1">
      <alignment horizontal="centerContinuous" vertical="top" wrapText="1"/>
    </xf>
    <xf numFmtId="0" fontId="4" fillId="0" borderId="0" xfId="4" applyFont="1" applyBorder="1" applyAlignment="1">
      <alignment horizontal="centerContinuous" vertical="top" wrapText="1"/>
    </xf>
    <xf numFmtId="0" fontId="7" fillId="0" borderId="0" xfId="4"/>
    <xf numFmtId="0" fontId="25" fillId="0" borderId="0" xfId="47"/>
    <xf numFmtId="0" fontId="25" fillId="0" borderId="0" xfId="47" applyFill="1"/>
    <xf numFmtId="0" fontId="7" fillId="0" borderId="0" xfId="4"/>
    <xf numFmtId="3" fontId="7" fillId="0" borderId="0" xfId="4" applyNumberFormat="1"/>
    <xf numFmtId="0" fontId="5" fillId="0" borderId="0" xfId="4" applyFont="1" applyBorder="1" applyAlignment="1">
      <alignment horizontal="centerContinuous" vertical="top" wrapText="1"/>
    </xf>
    <xf numFmtId="0" fontId="4" fillId="0" borderId="19" xfId="4" applyFont="1" applyBorder="1" applyAlignment="1">
      <alignment horizontal="centerContinuous" vertical="center" wrapText="1"/>
    </xf>
    <xf numFmtId="2" fontId="27" fillId="0" borderId="0" xfId="4" applyNumberFormat="1" applyFont="1" applyAlignment="1">
      <alignment vertical="top" wrapText="1"/>
    </xf>
    <xf numFmtId="0" fontId="27" fillId="0" borderId="0" xfId="4" applyFont="1" applyAlignment="1">
      <alignment vertical="top" wrapText="1"/>
    </xf>
    <xf numFmtId="0" fontId="4" fillId="0" borderId="0" xfId="4" applyFont="1" applyBorder="1" applyAlignment="1">
      <alignment horizontal="center" vertical="center" wrapText="1"/>
    </xf>
    <xf numFmtId="0" fontId="4" fillId="0" borderId="0" xfId="4" quotePrefix="1" applyFont="1" applyAlignment="1">
      <alignment horizontal="center" vertical="top" wrapText="1"/>
    </xf>
    <xf numFmtId="49" fontId="4" fillId="0" borderId="19" xfId="4" applyNumberFormat="1" applyFont="1" applyBorder="1" applyAlignment="1">
      <alignment vertical="top" wrapText="1"/>
    </xf>
    <xf numFmtId="49" fontId="4" fillId="0" borderId="0" xfId="4" applyNumberFormat="1" applyFont="1" applyBorder="1" applyAlignment="1">
      <alignment vertical="top" wrapText="1"/>
    </xf>
    <xf numFmtId="0" fontId="4" fillId="0" borderId="0" xfId="4" applyFont="1" applyBorder="1" applyAlignment="1">
      <alignment vertical="top" wrapText="1"/>
    </xf>
    <xf numFmtId="0" fontId="18" fillId="0" borderId="0" xfId="46" applyAlignment="1" applyProtection="1">
      <alignment vertical="top" wrapText="1"/>
    </xf>
    <xf numFmtId="1" fontId="5" fillId="0" borderId="0" xfId="4" applyNumberFormat="1" applyFont="1" applyBorder="1" applyAlignment="1">
      <alignment horizontal="centerContinuous" vertical="top" wrapText="1"/>
    </xf>
    <xf numFmtId="0" fontId="5" fillId="0" borderId="0" xfId="4" applyFont="1" applyBorder="1" applyAlignment="1">
      <alignment horizontal="centerContinuous" vertical="top" wrapText="1"/>
    </xf>
    <xf numFmtId="1" fontId="5" fillId="0" borderId="4" xfId="4" applyNumberFormat="1" applyFont="1" applyBorder="1" applyAlignment="1">
      <alignment horizontal="center" vertical="center" wrapText="1"/>
    </xf>
    <xf numFmtId="0" fontId="5" fillId="0" borderId="20" xfId="4" applyFont="1" applyBorder="1" applyAlignment="1">
      <alignment horizontal="center" vertical="center" wrapText="1"/>
    </xf>
    <xf numFmtId="1" fontId="5" fillId="0" borderId="0" xfId="4" quotePrefix="1" applyNumberFormat="1" applyFont="1" applyAlignment="1">
      <alignment horizontal="right" vertical="top" wrapText="1"/>
    </xf>
    <xf numFmtId="164" fontId="5" fillId="0" borderId="1" xfId="4" applyNumberFormat="1" applyFont="1" applyBorder="1" applyAlignment="1">
      <alignment horizontal="right" vertical="top" wrapText="1"/>
    </xf>
    <xf numFmtId="0" fontId="25" fillId="0" borderId="0" xfId="47"/>
    <xf numFmtId="0" fontId="25" fillId="0" borderId="0" xfId="47"/>
    <xf numFmtId="8" fontId="25" fillId="0" borderId="0" xfId="47" applyNumberFormat="1"/>
    <xf numFmtId="0" fontId="25" fillId="0" borderId="0" xfId="47" applyAlignment="1">
      <alignment wrapText="1"/>
    </xf>
    <xf numFmtId="0" fontId="29" fillId="11" borderId="21" xfId="4" applyFont="1" applyFill="1" applyBorder="1" applyAlignment="1">
      <alignment horizontal="center" vertical="center"/>
    </xf>
    <xf numFmtId="0" fontId="28" fillId="11" borderId="21" xfId="4" applyFont="1" applyFill="1" applyBorder="1" applyAlignment="1">
      <alignment horizontal="center"/>
    </xf>
    <xf numFmtId="168" fontId="30" fillId="11" borderId="21" xfId="4" applyNumberFormat="1" applyFont="1" applyFill="1" applyBorder="1" applyAlignment="1">
      <alignment horizontal="right"/>
    </xf>
    <xf numFmtId="4" fontId="0" fillId="0" borderId="0" xfId="0" applyNumberFormat="1"/>
    <xf numFmtId="3" fontId="0" fillId="0" borderId="0" xfId="0" applyNumberFormat="1"/>
    <xf numFmtId="11" fontId="0" fillId="0" borderId="0" xfId="0" applyNumberFormat="1"/>
    <xf numFmtId="14" fontId="0" fillId="0" borderId="0" xfId="0" applyNumberFormat="1"/>
    <xf numFmtId="46" fontId="0" fillId="0" borderId="0" xfId="0" applyNumberFormat="1"/>
    <xf numFmtId="0" fontId="25" fillId="0" borderId="0" xfId="47"/>
    <xf numFmtId="0" fontId="7" fillId="0" borderId="0" xfId="4"/>
    <xf numFmtId="0" fontId="25" fillId="0" borderId="0" xfId="47"/>
    <xf numFmtId="0" fontId="25" fillId="0" borderId="0" xfId="47" applyAlignment="1">
      <alignment horizontal="right"/>
    </xf>
    <xf numFmtId="0" fontId="31" fillId="0" borderId="8" xfId="2" applyFont="1" applyBorder="1" applyAlignment="1">
      <alignment horizontal="center" vertical="top" wrapText="1"/>
    </xf>
    <xf numFmtId="0" fontId="31" fillId="0" borderId="8" xfId="2" applyFont="1" applyBorder="1" applyAlignment="1">
      <alignment horizontal="center" vertical="top" wrapText="1"/>
    </xf>
    <xf numFmtId="0" fontId="29" fillId="0" borderId="8" xfId="2" applyFont="1" applyBorder="1" applyAlignment="1">
      <alignment horizontal="center" vertical="top" wrapText="1"/>
    </xf>
    <xf numFmtId="0" fontId="32" fillId="0" borderId="8" xfId="2" applyFont="1" applyBorder="1" applyAlignment="1">
      <alignment vertical="top" wrapText="1"/>
    </xf>
    <xf numFmtId="169" fontId="32" fillId="0" borderId="8" xfId="2" applyNumberFormat="1" applyFont="1" applyBorder="1" applyAlignment="1">
      <alignment horizontal="right" vertical="top" wrapText="1"/>
    </xf>
    <xf numFmtId="0" fontId="32" fillId="0" borderId="8" xfId="2" applyFont="1" applyBorder="1" applyAlignment="1">
      <alignment horizontal="right" vertical="top" wrapText="1"/>
    </xf>
    <xf numFmtId="0" fontId="32" fillId="0" borderId="8" xfId="2" applyFont="1" applyBorder="1" applyAlignment="1">
      <alignment horizontal="right" vertical="top" wrapText="1"/>
    </xf>
    <xf numFmtId="0" fontId="32" fillId="0" borderId="8" xfId="2" applyFont="1" applyBorder="1" applyAlignment="1">
      <alignment horizontal="right" vertical="top" wrapText="1"/>
    </xf>
    <xf numFmtId="0" fontId="32" fillId="0" borderId="8" xfId="2" applyFont="1" applyBorder="1" applyAlignment="1">
      <alignment horizontal="right" vertical="top" wrapText="1"/>
    </xf>
    <xf numFmtId="164" fontId="33" fillId="0" borderId="1" xfId="2" applyNumberFormat="1" applyFont="1" applyBorder="1" applyAlignment="1">
      <alignment horizontal="right" vertical="top" wrapText="1"/>
    </xf>
    <xf numFmtId="0" fontId="32" fillId="11" borderId="8" xfId="2" applyFont="1" applyFill="1" applyBorder="1" applyAlignment="1">
      <alignment vertical="top" wrapText="1"/>
    </xf>
    <xf numFmtId="170" fontId="32" fillId="11" borderId="8" xfId="2" applyNumberFormat="1" applyFont="1" applyFill="1" applyBorder="1" applyAlignment="1">
      <alignment horizontal="right" vertical="top" wrapText="1"/>
    </xf>
    <xf numFmtId="0" fontId="36" fillId="0" borderId="0" xfId="0" applyFont="1"/>
    <xf numFmtId="0" fontId="1" fillId="0" borderId="0" xfId="47" applyFont="1"/>
    <xf numFmtId="0" fontId="37" fillId="0" borderId="0" xfId="0" applyFont="1"/>
    <xf numFmtId="0" fontId="31" fillId="0" borderId="8" xfId="2" applyFont="1" applyBorder="1" applyAlignment="1">
      <alignment horizontal="center" vertical="top" wrapText="1"/>
    </xf>
    <xf numFmtId="0" fontId="4" fillId="0" borderId="0" xfId="4" applyFont="1" applyBorder="1" applyAlignment="1">
      <alignment horizontal="center" vertical="top" wrapText="1"/>
    </xf>
  </cellXfs>
  <cellStyles count="50">
    <cellStyle name="20% - Accent1 2" xfId="5" xr:uid="{3C5D1BB7-2E44-4557-8391-25512DC944EA}"/>
    <cellStyle name="20% - Accent2 2" xfId="6" xr:uid="{AF8DB30B-BEF6-4249-BF94-9B7E3016840C}"/>
    <cellStyle name="20% - Accent3 2" xfId="7" xr:uid="{E488A6D1-FA0B-4A2C-BC1D-65DEBC5B8F44}"/>
    <cellStyle name="20% - Accent4 2" xfId="8" xr:uid="{89779EB6-DE7B-430A-8DF8-A4A46E85716C}"/>
    <cellStyle name="20% - Accent5 2" xfId="9" xr:uid="{FBF565D7-1533-4878-95A7-63A980B4692B}"/>
    <cellStyle name="20% - Accent6 2" xfId="10" xr:uid="{D3FFEB5D-94E1-4312-A4B0-234FAC469FAB}"/>
    <cellStyle name="40% - Accent1 2" xfId="11" xr:uid="{DA70BD9F-B4A6-41CA-A640-E9562C6C09FD}"/>
    <cellStyle name="40% - Accent2 2" xfId="12" xr:uid="{EA757A69-4A69-41D7-8091-19810455743B}"/>
    <cellStyle name="40% - Accent3 2" xfId="13" xr:uid="{92D35303-21DE-436F-BF22-BEA0C309F8CC}"/>
    <cellStyle name="40% - Accent4 2" xfId="14" xr:uid="{0DD2AD2B-1829-463E-A1ED-1FE28F2638BE}"/>
    <cellStyle name="40% - Accent5 2" xfId="15" xr:uid="{3A3F461D-ABE0-473E-8D88-1859C1F69AA9}"/>
    <cellStyle name="40% - Accent6 2" xfId="16" xr:uid="{3137F6E1-3A6C-4EF2-BB2A-17EE2009EE62}"/>
    <cellStyle name="60% - Accent1 2" xfId="17" xr:uid="{526CB2A5-8FA0-4435-ACAE-3E40049AD685}"/>
    <cellStyle name="60% - Accent2 2" xfId="18" xr:uid="{46AC8767-94B8-4B7E-A7BD-3409C677D0C8}"/>
    <cellStyle name="60% - Accent3 2" xfId="19" xr:uid="{77079382-C4DE-45BF-B1D3-DC97BC4AFB71}"/>
    <cellStyle name="60% - Accent4 2" xfId="20" xr:uid="{4C16C97B-2DF3-4D52-ABC8-ED93B02DF9A6}"/>
    <cellStyle name="60% - Accent5 2" xfId="21" xr:uid="{B0D94FE3-ADBC-48A6-9B18-6F43025DCA1B}"/>
    <cellStyle name="60% - Accent6 2" xfId="22" xr:uid="{7184450C-2D32-4806-BA31-D58A6DB0F5E0}"/>
    <cellStyle name="Accent1 2" xfId="23" xr:uid="{6D5F3B84-C4C0-4EF6-90C6-374975581FED}"/>
    <cellStyle name="Accent2 2" xfId="24" xr:uid="{24D58C99-2825-43F2-912C-7D34001C8ADD}"/>
    <cellStyle name="Accent3 2" xfId="25" xr:uid="{E82DF7D4-B361-4EAC-8785-0B6C1CC39243}"/>
    <cellStyle name="Accent4 2" xfId="26" xr:uid="{32E8F9C2-652F-4D45-93FB-FB1D6EE0399C}"/>
    <cellStyle name="Accent5 2" xfId="27" xr:uid="{0D3BD5C4-1D01-4EBF-B6C6-A24FD941AD06}"/>
    <cellStyle name="Accent6 2" xfId="28" xr:uid="{58CD25F2-EF35-47CE-B0A8-68112C4F80A1}"/>
    <cellStyle name="Bad 2" xfId="29" xr:uid="{7A76A7A5-17C5-4E2A-BE94-463014BC4924}"/>
    <cellStyle name="Calculation 2" xfId="30" xr:uid="{C1E0D6BB-F43C-4DA8-8BD2-1EB4BBE2BA19}"/>
    <cellStyle name="Check Cell 2" xfId="31" xr:uid="{0C846BFA-E3DB-4811-BC6D-FEFF7363FB81}"/>
    <cellStyle name="Explanatory Text 2" xfId="32" xr:uid="{0C26DC4C-2030-4AEA-A1E0-876DC56E3549}"/>
    <cellStyle name="Good 2" xfId="33" xr:uid="{B24198BB-78E0-491C-A8D3-378B84EAD5EE}"/>
    <cellStyle name="Heading 1 2" xfId="34" xr:uid="{C69CEDDF-13A8-4071-813C-D681BF627536}"/>
    <cellStyle name="Heading 2 2" xfId="35" xr:uid="{CB3D8412-C171-4B77-9226-690DCA9F72AE}"/>
    <cellStyle name="Heading 3 2" xfId="36" xr:uid="{D20C36DB-347E-4B3D-B0F0-D5C2B57A1F72}"/>
    <cellStyle name="Heading 4 2" xfId="37" xr:uid="{4E13AC39-6D79-4BEF-BBB0-5D8057AB3053}"/>
    <cellStyle name="Hyperlink" xfId="3" builtinId="8"/>
    <cellStyle name="Hyperlink 2" xfId="46" xr:uid="{4BAF9654-0F45-452B-B0CD-C7C67F6E7406}"/>
    <cellStyle name="Input 2" xfId="38" xr:uid="{53E6D426-13EA-47D2-8112-267967FD87D2}"/>
    <cellStyle name="Linked Cell 2" xfId="39" xr:uid="{6B766595-2AFF-412F-986B-6B542A21AB8D}"/>
    <cellStyle name="Neutral 2" xfId="40" xr:uid="{49504BD4-E1DC-4E25-A490-F586A74784C5}"/>
    <cellStyle name="Normal" xfId="0" builtinId="0"/>
    <cellStyle name="Normal 2" xfId="1" xr:uid="{1285C688-ADD4-4A28-A252-3A95A2FDCBAE}"/>
    <cellStyle name="Normal 3" xfId="2" xr:uid="{92017A78-7967-4389-BDE0-B978A27FA9D7}"/>
    <cellStyle name="Normal 4" xfId="4" xr:uid="{2A01ADDC-88A6-4039-86AE-FF524282B657}"/>
    <cellStyle name="Normal 5" xfId="47" xr:uid="{DA7B93A7-67BD-4C6E-82FD-BCD6138916E0}"/>
    <cellStyle name="Normal 6" xfId="48" xr:uid="{7694B3F2-7C7D-4A98-A375-77DE541B4E9D}"/>
    <cellStyle name="Normal 7" xfId="49" xr:uid="{07C9BA0D-3B1A-417A-9409-05BC08583228}"/>
    <cellStyle name="Note 2" xfId="41" xr:uid="{BC4DB04F-3483-4CF7-B90F-6CD9C5D4E4CF}"/>
    <cellStyle name="Output 2" xfId="42" xr:uid="{767A2D99-72B6-433B-A720-4AF0D0BC3D11}"/>
    <cellStyle name="Title 2" xfId="43" xr:uid="{12C6B71C-CBA8-4FDC-8269-5491F543502E}"/>
    <cellStyle name="Total 2" xfId="44" xr:uid="{D4B3D174-23AE-4B76-98BD-F35D796AF09E}"/>
    <cellStyle name="Warning Text 2" xfId="45" xr:uid="{B14A434C-0F46-42BD-84E7-DAE5AB2D71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conomagi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80C1-C8C6-490D-8F88-6D4084A3B85F}">
  <dimension ref="A1:T70"/>
  <sheetViews>
    <sheetView workbookViewId="0">
      <selection activeCell="E59" sqref="E59"/>
    </sheetView>
  </sheetViews>
  <sheetFormatPr defaultRowHeight="15"/>
  <sheetData>
    <row r="1" spans="1:20">
      <c r="A1" t="s">
        <v>63</v>
      </c>
      <c r="B1" t="s">
        <v>1393</v>
      </c>
      <c r="C1" t="s">
        <v>1405</v>
      </c>
      <c r="D1" t="s">
        <v>1406</v>
      </c>
      <c r="E1" t="s">
        <v>1407</v>
      </c>
      <c r="Q1" t="s">
        <v>63</v>
      </c>
      <c r="R1" t="s">
        <v>1405</v>
      </c>
      <c r="S1" t="s">
        <v>1406</v>
      </c>
      <c r="T1" t="s">
        <v>1407</v>
      </c>
    </row>
    <row r="2" spans="1:20">
      <c r="A2" t="s">
        <v>292</v>
      </c>
      <c r="B2">
        <v>10044</v>
      </c>
      <c r="Q2" t="s">
        <v>1329</v>
      </c>
      <c r="R2">
        <v>1416</v>
      </c>
      <c r="S2">
        <v>1874</v>
      </c>
      <c r="T2">
        <v>2196</v>
      </c>
    </row>
    <row r="3" spans="1:20">
      <c r="A3" t="s">
        <v>293</v>
      </c>
      <c r="B3">
        <v>10686</v>
      </c>
      <c r="C3">
        <v>1416</v>
      </c>
      <c r="D3">
        <v>1874</v>
      </c>
      <c r="E3">
        <v>2196</v>
      </c>
      <c r="Q3" t="s">
        <v>1330</v>
      </c>
      <c r="R3">
        <v>1316</v>
      </c>
      <c r="S3">
        <v>1752</v>
      </c>
      <c r="T3">
        <v>2099</v>
      </c>
    </row>
    <row r="4" spans="1:20">
      <c r="A4" t="s">
        <v>294</v>
      </c>
      <c r="B4">
        <v>10497</v>
      </c>
      <c r="C4">
        <v>1316</v>
      </c>
      <c r="D4">
        <v>1752</v>
      </c>
      <c r="E4">
        <v>2099</v>
      </c>
      <c r="Q4" t="s">
        <v>1331</v>
      </c>
      <c r="R4">
        <v>1337</v>
      </c>
      <c r="S4">
        <v>1765</v>
      </c>
      <c r="T4">
        <v>2137</v>
      </c>
    </row>
    <row r="5" spans="1:20">
      <c r="A5" t="s">
        <v>295</v>
      </c>
      <c r="B5">
        <v>11433</v>
      </c>
      <c r="C5">
        <v>1337</v>
      </c>
      <c r="D5">
        <v>1765</v>
      </c>
      <c r="E5">
        <v>2137</v>
      </c>
      <c r="Q5" t="s">
        <v>1332</v>
      </c>
      <c r="R5">
        <v>1394</v>
      </c>
      <c r="S5">
        <v>1850</v>
      </c>
      <c r="T5">
        <v>2249</v>
      </c>
    </row>
    <row r="6" spans="1:20">
      <c r="A6" t="s">
        <v>296</v>
      </c>
      <c r="B6">
        <v>10805</v>
      </c>
      <c r="C6">
        <v>1394</v>
      </c>
      <c r="D6">
        <v>1850</v>
      </c>
      <c r="E6">
        <v>2249</v>
      </c>
      <c r="Q6" t="s">
        <v>297</v>
      </c>
      <c r="R6">
        <v>1542</v>
      </c>
      <c r="S6">
        <v>2049</v>
      </c>
      <c r="T6">
        <v>2505</v>
      </c>
    </row>
    <row r="7" spans="1:20">
      <c r="A7" t="s">
        <v>297</v>
      </c>
      <c r="B7">
        <v>11020</v>
      </c>
      <c r="C7">
        <v>1542</v>
      </c>
      <c r="D7">
        <v>2049</v>
      </c>
      <c r="E7">
        <v>2505</v>
      </c>
      <c r="Q7" t="s">
        <v>298</v>
      </c>
      <c r="R7">
        <v>1672</v>
      </c>
      <c r="S7">
        <v>2222</v>
      </c>
      <c r="T7">
        <v>2730</v>
      </c>
    </row>
    <row r="8" spans="1:20">
      <c r="A8" t="s">
        <v>298</v>
      </c>
      <c r="B8">
        <v>13123</v>
      </c>
      <c r="C8">
        <v>1672</v>
      </c>
      <c r="D8">
        <v>2222</v>
      </c>
      <c r="E8">
        <v>2730</v>
      </c>
      <c r="Q8" t="s">
        <v>299</v>
      </c>
      <c r="R8">
        <v>1759</v>
      </c>
      <c r="S8">
        <v>2334</v>
      </c>
      <c r="T8">
        <v>2991</v>
      </c>
    </row>
    <row r="9" spans="1:20">
      <c r="A9" t="s">
        <v>299</v>
      </c>
      <c r="B9">
        <v>13516</v>
      </c>
      <c r="C9">
        <v>1759</v>
      </c>
      <c r="D9">
        <v>2334</v>
      </c>
      <c r="E9">
        <v>2991</v>
      </c>
      <c r="Q9" t="s">
        <v>300</v>
      </c>
      <c r="R9">
        <v>1828</v>
      </c>
      <c r="S9">
        <v>2394</v>
      </c>
      <c r="T9">
        <v>3264</v>
      </c>
    </row>
    <row r="10" spans="1:20">
      <c r="A10" t="s">
        <v>300</v>
      </c>
      <c r="B10">
        <v>15051</v>
      </c>
      <c r="C10">
        <v>1828</v>
      </c>
      <c r="D10">
        <v>2394</v>
      </c>
      <c r="E10">
        <v>3264</v>
      </c>
      <c r="Q10" t="s">
        <v>301</v>
      </c>
      <c r="R10">
        <v>1966</v>
      </c>
      <c r="S10">
        <v>2551</v>
      </c>
      <c r="T10">
        <v>3655</v>
      </c>
    </row>
    <row r="11" spans="1:20">
      <c r="A11" t="s">
        <v>301</v>
      </c>
      <c r="B11">
        <v>15838</v>
      </c>
      <c r="C11">
        <v>1966</v>
      </c>
      <c r="D11">
        <v>2551</v>
      </c>
      <c r="E11">
        <v>3655</v>
      </c>
      <c r="Q11" t="s">
        <v>302</v>
      </c>
      <c r="R11">
        <v>2132</v>
      </c>
      <c r="S11">
        <v>2725</v>
      </c>
      <c r="T11">
        <v>3902</v>
      </c>
    </row>
    <row r="12" spans="1:20">
      <c r="A12" t="s">
        <v>302</v>
      </c>
      <c r="B12">
        <v>17335</v>
      </c>
      <c r="C12">
        <v>2132</v>
      </c>
      <c r="D12">
        <v>2725</v>
      </c>
      <c r="E12">
        <v>3902</v>
      </c>
      <c r="Q12" t="s">
        <v>303</v>
      </c>
      <c r="R12">
        <v>2224</v>
      </c>
      <c r="S12">
        <v>2849</v>
      </c>
      <c r="T12">
        <v>4004</v>
      </c>
    </row>
    <row r="13" spans="1:20">
      <c r="A13" t="s">
        <v>303</v>
      </c>
      <c r="B13">
        <v>18347</v>
      </c>
      <c r="C13">
        <v>2224</v>
      </c>
      <c r="D13">
        <v>2849</v>
      </c>
      <c r="E13">
        <v>4004</v>
      </c>
      <c r="Q13" t="s">
        <v>304</v>
      </c>
      <c r="R13">
        <v>2399</v>
      </c>
      <c r="S13">
        <v>3102</v>
      </c>
      <c r="T13">
        <v>4393</v>
      </c>
    </row>
    <row r="14" spans="1:20">
      <c r="A14" t="s">
        <v>304</v>
      </c>
      <c r="B14">
        <v>19718</v>
      </c>
      <c r="C14">
        <v>2399</v>
      </c>
      <c r="D14">
        <v>3102</v>
      </c>
      <c r="E14">
        <v>4393</v>
      </c>
      <c r="Q14" t="s">
        <v>305</v>
      </c>
      <c r="R14">
        <v>2615</v>
      </c>
      <c r="S14">
        <v>3475</v>
      </c>
      <c r="T14">
        <v>4788</v>
      </c>
    </row>
    <row r="15" spans="1:20">
      <c r="A15" t="s">
        <v>305</v>
      </c>
      <c r="B15">
        <v>22662</v>
      </c>
      <c r="C15">
        <v>2615</v>
      </c>
      <c r="D15">
        <v>3475</v>
      </c>
      <c r="E15">
        <v>4788</v>
      </c>
      <c r="Q15" t="s">
        <v>306</v>
      </c>
      <c r="R15">
        <v>2829</v>
      </c>
      <c r="S15">
        <v>3865</v>
      </c>
      <c r="T15">
        <v>5269</v>
      </c>
    </row>
    <row r="16" spans="1:20">
      <c r="A16" t="s">
        <v>306</v>
      </c>
      <c r="B16">
        <v>26418</v>
      </c>
      <c r="C16">
        <v>2829</v>
      </c>
      <c r="D16">
        <v>3865</v>
      </c>
      <c r="E16">
        <v>5269</v>
      </c>
      <c r="Q16" t="s">
        <v>307</v>
      </c>
      <c r="R16">
        <v>3045</v>
      </c>
      <c r="S16">
        <v>4237</v>
      </c>
      <c r="T16">
        <v>5807</v>
      </c>
    </row>
    <row r="17" spans="1:20">
      <c r="A17" t="s">
        <v>307</v>
      </c>
      <c r="B17">
        <v>27852</v>
      </c>
      <c r="C17">
        <v>3045</v>
      </c>
      <c r="D17">
        <v>4237</v>
      </c>
      <c r="E17">
        <v>5807</v>
      </c>
      <c r="Q17" t="s">
        <v>308</v>
      </c>
      <c r="R17">
        <v>3274</v>
      </c>
      <c r="S17">
        <v>4641</v>
      </c>
      <c r="T17">
        <v>6462</v>
      </c>
    </row>
    <row r="18" spans="1:20">
      <c r="A18" t="s">
        <v>308</v>
      </c>
      <c r="B18">
        <v>31481</v>
      </c>
      <c r="C18">
        <v>3274</v>
      </c>
      <c r="D18">
        <v>4641</v>
      </c>
      <c r="E18">
        <v>6462</v>
      </c>
      <c r="Q18" t="s">
        <v>309</v>
      </c>
      <c r="R18">
        <v>3472</v>
      </c>
      <c r="S18">
        <v>5009</v>
      </c>
      <c r="T18">
        <v>7042</v>
      </c>
    </row>
    <row r="19" spans="1:20">
      <c r="A19" t="s">
        <v>309</v>
      </c>
      <c r="B19">
        <v>36875</v>
      </c>
      <c r="C19">
        <v>3472</v>
      </c>
      <c r="D19">
        <v>5009</v>
      </c>
      <c r="E19">
        <v>7042</v>
      </c>
      <c r="Q19" t="s">
        <v>310</v>
      </c>
      <c r="R19">
        <v>3767</v>
      </c>
      <c r="S19">
        <v>5428</v>
      </c>
      <c r="T19">
        <v>7793</v>
      </c>
    </row>
    <row r="20" spans="1:20">
      <c r="A20" t="s">
        <v>310</v>
      </c>
      <c r="B20">
        <v>39069</v>
      </c>
      <c r="C20">
        <v>3767</v>
      </c>
      <c r="D20">
        <v>5428</v>
      </c>
      <c r="E20">
        <v>7793</v>
      </c>
      <c r="Q20" t="s">
        <v>311</v>
      </c>
      <c r="R20">
        <v>4151</v>
      </c>
      <c r="S20">
        <v>6021</v>
      </c>
      <c r="T20">
        <v>8838</v>
      </c>
    </row>
    <row r="21" spans="1:20">
      <c r="A21" t="s">
        <v>311</v>
      </c>
      <c r="B21">
        <v>43027</v>
      </c>
      <c r="C21">
        <v>4151</v>
      </c>
      <c r="D21">
        <v>6021</v>
      </c>
      <c r="E21">
        <v>8838</v>
      </c>
      <c r="Q21" t="s">
        <v>312</v>
      </c>
      <c r="R21">
        <v>4578</v>
      </c>
      <c r="S21">
        <v>6903</v>
      </c>
      <c r="T21">
        <v>10326</v>
      </c>
    </row>
    <row r="22" spans="1:20">
      <c r="A22" t="s">
        <v>312</v>
      </c>
      <c r="B22">
        <v>45965</v>
      </c>
      <c r="C22">
        <v>4578</v>
      </c>
      <c r="D22">
        <v>6903</v>
      </c>
      <c r="E22">
        <v>10326</v>
      </c>
      <c r="Q22" t="s">
        <v>313</v>
      </c>
      <c r="R22">
        <v>5052</v>
      </c>
      <c r="S22">
        <v>7740</v>
      </c>
      <c r="T22">
        <v>11814</v>
      </c>
    </row>
    <row r="23" spans="1:20">
      <c r="A23" t="s">
        <v>313</v>
      </c>
      <c r="B23">
        <v>49232</v>
      </c>
      <c r="C23">
        <v>5052</v>
      </c>
      <c r="D23">
        <v>7740</v>
      </c>
      <c r="E23">
        <v>11814</v>
      </c>
      <c r="Q23" t="s">
        <v>314</v>
      </c>
      <c r="R23">
        <v>5534</v>
      </c>
      <c r="S23">
        <v>8778</v>
      </c>
      <c r="T23">
        <v>13746</v>
      </c>
    </row>
    <row r="24" spans="1:20">
      <c r="A24" t="s">
        <v>314</v>
      </c>
      <c r="B24">
        <v>54289</v>
      </c>
      <c r="C24">
        <v>5534</v>
      </c>
      <c r="D24">
        <v>8778</v>
      </c>
      <c r="E24">
        <v>13746</v>
      </c>
      <c r="Q24" t="s">
        <v>315</v>
      </c>
      <c r="R24">
        <v>6778</v>
      </c>
      <c r="S24">
        <v>10363</v>
      </c>
      <c r="T24">
        <v>16474</v>
      </c>
    </row>
    <row r="25" spans="1:20">
      <c r="A25" t="s">
        <v>315</v>
      </c>
      <c r="B25">
        <v>66103</v>
      </c>
      <c r="C25">
        <v>6778</v>
      </c>
      <c r="D25">
        <v>10363</v>
      </c>
      <c r="E25">
        <v>16474</v>
      </c>
      <c r="Q25" t="s">
        <v>316</v>
      </c>
      <c r="R25">
        <v>7262</v>
      </c>
      <c r="S25">
        <v>11578</v>
      </c>
      <c r="T25">
        <v>18717</v>
      </c>
    </row>
    <row r="26" spans="1:20">
      <c r="A26" t="s">
        <v>316</v>
      </c>
      <c r="B26">
        <v>78135</v>
      </c>
      <c r="C26">
        <v>7262</v>
      </c>
      <c r="D26">
        <v>11578</v>
      </c>
      <c r="E26">
        <v>18717</v>
      </c>
      <c r="Q26" t="s">
        <v>317</v>
      </c>
      <c r="R26">
        <v>7493</v>
      </c>
      <c r="S26">
        <v>12562</v>
      </c>
      <c r="T26">
        <v>21052</v>
      </c>
    </row>
    <row r="27" spans="1:20">
      <c r="A27" t="s">
        <v>317</v>
      </c>
      <c r="B27">
        <v>83966</v>
      </c>
      <c r="C27">
        <v>7493</v>
      </c>
      <c r="D27">
        <v>12562</v>
      </c>
      <c r="E27">
        <v>21052</v>
      </c>
      <c r="Q27" t="s">
        <v>318</v>
      </c>
      <c r="R27">
        <v>8610</v>
      </c>
      <c r="S27">
        <v>14485</v>
      </c>
      <c r="T27">
        <v>25237</v>
      </c>
    </row>
    <row r="28" spans="1:20">
      <c r="A28" t="s">
        <v>318</v>
      </c>
      <c r="B28">
        <v>90518</v>
      </c>
      <c r="C28">
        <v>8610</v>
      </c>
      <c r="D28">
        <v>14485</v>
      </c>
      <c r="E28">
        <v>25237</v>
      </c>
      <c r="Q28" t="s">
        <v>319</v>
      </c>
      <c r="R28">
        <v>10237</v>
      </c>
      <c r="S28">
        <v>16496</v>
      </c>
      <c r="T28">
        <v>30263</v>
      </c>
    </row>
    <row r="29" spans="1:20">
      <c r="A29" t="s">
        <v>319</v>
      </c>
      <c r="B29">
        <v>102563</v>
      </c>
      <c r="C29">
        <v>10237</v>
      </c>
      <c r="D29">
        <v>16496</v>
      </c>
      <c r="E29">
        <v>30263</v>
      </c>
      <c r="Q29" t="s">
        <v>320</v>
      </c>
      <c r="R29">
        <v>12367</v>
      </c>
      <c r="S29">
        <v>15529</v>
      </c>
      <c r="T29">
        <v>36434</v>
      </c>
    </row>
    <row r="30" spans="1:20">
      <c r="A30" t="s">
        <v>320</v>
      </c>
      <c r="B30">
        <v>111215</v>
      </c>
      <c r="C30">
        <v>12367</v>
      </c>
      <c r="D30">
        <v>15529</v>
      </c>
      <c r="E30">
        <v>36434</v>
      </c>
      <c r="Q30" t="s">
        <v>321</v>
      </c>
      <c r="R30">
        <v>15202</v>
      </c>
      <c r="S30">
        <v>18479</v>
      </c>
      <c r="T30">
        <v>43792</v>
      </c>
    </row>
    <row r="31" spans="1:20">
      <c r="A31" t="s">
        <v>321</v>
      </c>
      <c r="B31">
        <v>122308</v>
      </c>
      <c r="C31">
        <v>15202</v>
      </c>
      <c r="D31">
        <v>18479</v>
      </c>
      <c r="E31">
        <v>43792</v>
      </c>
      <c r="Q31" t="s">
        <v>322</v>
      </c>
      <c r="R31">
        <v>17253</v>
      </c>
      <c r="S31">
        <v>20891</v>
      </c>
      <c r="T31">
        <v>50966</v>
      </c>
    </row>
    <row r="32" spans="1:20">
      <c r="A32" t="s">
        <v>322</v>
      </c>
      <c r="B32">
        <v>145715</v>
      </c>
      <c r="C32">
        <v>17253</v>
      </c>
      <c r="D32">
        <v>20891</v>
      </c>
      <c r="E32">
        <v>50966</v>
      </c>
      <c r="Q32" t="s">
        <v>323</v>
      </c>
      <c r="R32">
        <v>19658</v>
      </c>
      <c r="S32">
        <v>23936</v>
      </c>
      <c r="T32">
        <v>59793</v>
      </c>
    </row>
    <row r="33" spans="1:20">
      <c r="A33" t="s">
        <v>323</v>
      </c>
      <c r="B33">
        <v>170845</v>
      </c>
      <c r="C33">
        <v>19658</v>
      </c>
      <c r="D33">
        <v>23936</v>
      </c>
      <c r="E33">
        <v>59793</v>
      </c>
      <c r="Q33" t="s">
        <v>324</v>
      </c>
      <c r="R33">
        <v>21773</v>
      </c>
      <c r="S33">
        <v>26563</v>
      </c>
      <c r="T33">
        <v>68515</v>
      </c>
    </row>
    <row r="34" spans="1:20">
      <c r="A34" t="s">
        <v>324</v>
      </c>
      <c r="B34">
        <v>190425</v>
      </c>
      <c r="C34">
        <v>21773</v>
      </c>
      <c r="D34">
        <v>26563</v>
      </c>
      <c r="E34">
        <v>68515</v>
      </c>
      <c r="Q34" t="s">
        <v>325</v>
      </c>
      <c r="R34">
        <v>25129</v>
      </c>
      <c r="S34">
        <v>30476</v>
      </c>
      <c r="T34">
        <v>80577</v>
      </c>
    </row>
    <row r="35" spans="1:20">
      <c r="A35" t="s">
        <v>325</v>
      </c>
      <c r="B35">
        <v>221541</v>
      </c>
      <c r="C35">
        <v>25129</v>
      </c>
      <c r="D35">
        <v>30476</v>
      </c>
      <c r="E35">
        <v>80577</v>
      </c>
      <c r="Q35" t="s">
        <v>326</v>
      </c>
      <c r="R35">
        <v>30352</v>
      </c>
      <c r="S35">
        <v>36056</v>
      </c>
      <c r="T35">
        <v>95295</v>
      </c>
    </row>
    <row r="36" spans="1:20">
      <c r="A36" t="s">
        <v>326</v>
      </c>
      <c r="B36">
        <v>247844</v>
      </c>
      <c r="C36">
        <v>30352</v>
      </c>
      <c r="D36">
        <v>36056</v>
      </c>
      <c r="E36">
        <v>95295</v>
      </c>
      <c r="Q36" t="s">
        <v>327</v>
      </c>
      <c r="R36">
        <v>34264</v>
      </c>
      <c r="S36">
        <v>40847</v>
      </c>
      <c r="T36">
        <v>111096</v>
      </c>
    </row>
    <row r="37" spans="1:20">
      <c r="A37" t="s">
        <v>327</v>
      </c>
      <c r="B37">
        <v>279901</v>
      </c>
      <c r="C37">
        <v>34264</v>
      </c>
      <c r="D37">
        <v>40847</v>
      </c>
      <c r="E37">
        <v>111096</v>
      </c>
      <c r="Q37" t="s">
        <v>328</v>
      </c>
      <c r="R37">
        <v>40520</v>
      </c>
      <c r="S37">
        <v>46836</v>
      </c>
      <c r="T37">
        <v>130653</v>
      </c>
    </row>
    <row r="38" spans="1:20">
      <c r="A38" t="s">
        <v>328</v>
      </c>
      <c r="B38">
        <v>313011</v>
      </c>
      <c r="C38">
        <v>40520</v>
      </c>
      <c r="D38">
        <v>46836</v>
      </c>
      <c r="E38">
        <v>130653</v>
      </c>
      <c r="Q38" t="s">
        <v>329</v>
      </c>
      <c r="R38">
        <v>49795</v>
      </c>
      <c r="S38">
        <v>53814</v>
      </c>
      <c r="T38">
        <v>153207</v>
      </c>
    </row>
    <row r="39" spans="1:20">
      <c r="A39" t="s">
        <v>329</v>
      </c>
      <c r="B39">
        <v>355242</v>
      </c>
      <c r="C39">
        <v>49795</v>
      </c>
      <c r="D39">
        <v>53814</v>
      </c>
      <c r="E39">
        <v>153207</v>
      </c>
      <c r="Q39" t="s">
        <v>330</v>
      </c>
      <c r="R39">
        <v>58321</v>
      </c>
      <c r="S39">
        <v>61838</v>
      </c>
      <c r="T39">
        <v>179687</v>
      </c>
    </row>
    <row r="40" spans="1:20">
      <c r="A40" t="s">
        <v>330</v>
      </c>
      <c r="B40">
        <v>420035</v>
      </c>
      <c r="C40">
        <v>58321</v>
      </c>
      <c r="D40">
        <v>61838</v>
      </c>
      <c r="E40">
        <v>179687</v>
      </c>
      <c r="Q40" t="s">
        <v>331</v>
      </c>
      <c r="R40">
        <v>69413</v>
      </c>
      <c r="S40">
        <v>74225</v>
      </c>
      <c r="T40">
        <v>213856</v>
      </c>
    </row>
    <row r="41" spans="1:20">
      <c r="A41" t="s">
        <v>331</v>
      </c>
      <c r="B41">
        <v>481953</v>
      </c>
      <c r="C41">
        <v>69413</v>
      </c>
      <c r="D41">
        <v>74225</v>
      </c>
      <c r="E41">
        <v>213856</v>
      </c>
      <c r="Q41" t="s">
        <v>332</v>
      </c>
      <c r="R41">
        <v>80243</v>
      </c>
      <c r="S41">
        <v>87217</v>
      </c>
      <c r="T41">
        <v>249493</v>
      </c>
    </row>
    <row r="42" spans="1:20">
      <c r="A42" t="s">
        <v>332</v>
      </c>
      <c r="B42">
        <v>562079</v>
      </c>
      <c r="C42">
        <v>80243</v>
      </c>
      <c r="D42">
        <v>87217</v>
      </c>
      <c r="E42">
        <v>249493</v>
      </c>
      <c r="Q42" t="s">
        <v>1288</v>
      </c>
      <c r="R42">
        <v>94090</v>
      </c>
      <c r="S42">
        <v>103970</v>
      </c>
      <c r="T42">
        <v>292403</v>
      </c>
    </row>
    <row r="43" spans="1:20">
      <c r="A43" t="s">
        <v>333</v>
      </c>
      <c r="B43">
        <v>644652</v>
      </c>
      <c r="C43">
        <v>94090</v>
      </c>
      <c r="D43">
        <v>103970</v>
      </c>
      <c r="E43">
        <v>292403</v>
      </c>
      <c r="Q43" t="s">
        <v>1289</v>
      </c>
      <c r="R43">
        <v>107740</v>
      </c>
      <c r="S43">
        <v>120050</v>
      </c>
      <c r="T43">
        <v>344238</v>
      </c>
    </row>
    <row r="44" spans="1:20">
      <c r="A44" t="s">
        <v>334</v>
      </c>
      <c r="B44">
        <v>740946</v>
      </c>
      <c r="C44">
        <v>107740</v>
      </c>
      <c r="D44">
        <v>120050</v>
      </c>
      <c r="E44">
        <v>344238</v>
      </c>
      <c r="Q44" t="s">
        <v>1290</v>
      </c>
      <c r="R44">
        <v>125182</v>
      </c>
      <c r="S44">
        <v>136353</v>
      </c>
      <c r="T44">
        <v>399048</v>
      </c>
    </row>
    <row r="45" spans="1:20">
      <c r="A45" t="s">
        <v>335</v>
      </c>
      <c r="B45">
        <v>853725</v>
      </c>
      <c r="C45">
        <v>125182</v>
      </c>
      <c r="D45">
        <v>136353</v>
      </c>
      <c r="E45">
        <v>399048</v>
      </c>
      <c r="Q45" t="s">
        <v>1291</v>
      </c>
      <c r="R45">
        <v>153165</v>
      </c>
      <c r="S45">
        <v>169200</v>
      </c>
      <c r="T45">
        <v>478196</v>
      </c>
    </row>
    <row r="46" spans="1:20">
      <c r="A46" t="s">
        <v>336</v>
      </c>
      <c r="B46">
        <v>1002681</v>
      </c>
      <c r="C46">
        <v>153165</v>
      </c>
      <c r="D46">
        <v>169200</v>
      </c>
      <c r="E46">
        <v>478196</v>
      </c>
      <c r="Q46" t="s">
        <v>1394</v>
      </c>
      <c r="R46">
        <v>178245</v>
      </c>
      <c r="S46">
        <v>198283</v>
      </c>
      <c r="T46">
        <v>552953</v>
      </c>
    </row>
    <row r="47" spans="1:20">
      <c r="A47" t="s">
        <v>337</v>
      </c>
      <c r="B47">
        <v>1178329</v>
      </c>
      <c r="C47">
        <v>178245</v>
      </c>
      <c r="D47">
        <v>198283</v>
      </c>
      <c r="E47">
        <v>552953</v>
      </c>
      <c r="Q47" t="s">
        <v>1293</v>
      </c>
      <c r="R47">
        <v>189524</v>
      </c>
      <c r="S47">
        <v>221764</v>
      </c>
      <c r="T47">
        <v>642631</v>
      </c>
    </row>
    <row r="48" spans="1:20">
      <c r="A48" t="s">
        <v>338</v>
      </c>
      <c r="B48">
        <v>1365535</v>
      </c>
      <c r="C48">
        <v>189524</v>
      </c>
      <c r="D48">
        <v>221764</v>
      </c>
      <c r="E48">
        <v>642631</v>
      </c>
      <c r="Q48" t="s">
        <v>1294</v>
      </c>
      <c r="R48">
        <v>208994</v>
      </c>
      <c r="S48">
        <v>248465</v>
      </c>
      <c r="T48">
        <v>752028</v>
      </c>
    </row>
    <row r="49" spans="1:20">
      <c r="A49" t="s">
        <v>339</v>
      </c>
      <c r="B49">
        <v>1513953</v>
      </c>
      <c r="C49">
        <v>208994</v>
      </c>
      <c r="D49">
        <v>248465</v>
      </c>
      <c r="E49">
        <v>752028</v>
      </c>
      <c r="Q49" t="s">
        <v>1295</v>
      </c>
      <c r="R49">
        <v>234625</v>
      </c>
      <c r="S49">
        <v>279638</v>
      </c>
      <c r="T49">
        <v>901294</v>
      </c>
    </row>
    <row r="50" spans="1:20">
      <c r="A50" t="s">
        <v>340</v>
      </c>
      <c r="B50">
        <v>1736231</v>
      </c>
      <c r="C50">
        <v>234625</v>
      </c>
      <c r="D50">
        <v>279638</v>
      </c>
      <c r="E50">
        <v>901294</v>
      </c>
      <c r="Q50" t="s">
        <v>1297</v>
      </c>
      <c r="R50">
        <v>262307</v>
      </c>
      <c r="S50">
        <v>320630</v>
      </c>
      <c r="T50">
        <v>1056025</v>
      </c>
    </row>
    <row r="51" spans="1:20">
      <c r="A51" t="s">
        <v>341</v>
      </c>
      <c r="B51">
        <v>1936605</v>
      </c>
      <c r="C51">
        <v>262307</v>
      </c>
      <c r="D51">
        <v>320630</v>
      </c>
      <c r="E51">
        <v>1056025</v>
      </c>
      <c r="Q51" t="s">
        <v>1298</v>
      </c>
      <c r="R51">
        <v>282678</v>
      </c>
      <c r="S51">
        <v>356588</v>
      </c>
      <c r="T51">
        <v>1224087</v>
      </c>
    </row>
    <row r="52" spans="1:20">
      <c r="A52" t="s">
        <v>342</v>
      </c>
      <c r="B52">
        <v>2079581</v>
      </c>
      <c r="C52">
        <v>282678</v>
      </c>
      <c r="D52">
        <v>356588</v>
      </c>
      <c r="E52">
        <v>1224087</v>
      </c>
      <c r="Q52" t="s">
        <v>1299</v>
      </c>
      <c r="R52">
        <v>314034</v>
      </c>
      <c r="S52">
        <v>397683</v>
      </c>
      <c r="T52">
        <v>1420007</v>
      </c>
    </row>
    <row r="53" spans="1:20">
      <c r="A53" t="s">
        <v>343</v>
      </c>
      <c r="B53">
        <v>2258884</v>
      </c>
      <c r="C53">
        <v>314034</v>
      </c>
      <c r="D53">
        <v>397683</v>
      </c>
      <c r="E53">
        <v>1420007</v>
      </c>
      <c r="Q53" t="s">
        <v>1300</v>
      </c>
      <c r="R53">
        <v>343038</v>
      </c>
      <c r="S53">
        <v>445513</v>
      </c>
      <c r="T53">
        <v>1647954</v>
      </c>
    </row>
    <row r="54" spans="1:20">
      <c r="A54" t="s">
        <v>344</v>
      </c>
      <c r="B54">
        <v>2437871</v>
      </c>
      <c r="C54">
        <v>343038</v>
      </c>
      <c r="D54">
        <v>445513</v>
      </c>
      <c r="E54">
        <v>1647954</v>
      </c>
      <c r="Q54" t="s">
        <v>1301</v>
      </c>
      <c r="R54">
        <v>390712</v>
      </c>
      <c r="S54">
        <v>514636</v>
      </c>
      <c r="T54">
        <v>1861580</v>
      </c>
    </row>
    <row r="55" spans="1:20">
      <c r="A55" t="s">
        <v>345</v>
      </c>
      <c r="B55">
        <v>2733912</v>
      </c>
      <c r="C55">
        <v>390712</v>
      </c>
      <c r="D55">
        <v>514636</v>
      </c>
      <c r="E55">
        <v>1861580</v>
      </c>
      <c r="Q55" t="s">
        <v>1302</v>
      </c>
      <c r="R55">
        <v>444861</v>
      </c>
      <c r="S55">
        <v>600343</v>
      </c>
      <c r="T55">
        <v>2121459</v>
      </c>
    </row>
    <row r="56" spans="1:20">
      <c r="A56" t="s">
        <v>346</v>
      </c>
      <c r="B56">
        <v>3127032</v>
      </c>
      <c r="C56">
        <v>444861</v>
      </c>
      <c r="D56">
        <v>600343</v>
      </c>
      <c r="E56">
        <v>2121459</v>
      </c>
      <c r="Q56" t="s">
        <v>1303</v>
      </c>
      <c r="R56">
        <v>515948</v>
      </c>
      <c r="S56">
        <v>716470</v>
      </c>
      <c r="T56">
        <v>2458925</v>
      </c>
    </row>
    <row r="57" spans="1:20">
      <c r="A57" t="s">
        <v>1392</v>
      </c>
      <c r="B57">
        <v>3560627</v>
      </c>
      <c r="C57">
        <v>515948</v>
      </c>
      <c r="D57">
        <v>716470</v>
      </c>
      <c r="E57">
        <v>2458925</v>
      </c>
      <c r="Q57" t="s">
        <v>1304</v>
      </c>
      <c r="R57">
        <v>617286</v>
      </c>
      <c r="S57">
        <v>858675</v>
      </c>
      <c r="T57">
        <v>2950186</v>
      </c>
    </row>
    <row r="58" spans="1:20">
      <c r="A58" t="s">
        <v>1391</v>
      </c>
      <c r="B58">
        <v>4099396</v>
      </c>
      <c r="C58">
        <v>617286</v>
      </c>
      <c r="D58">
        <v>858675</v>
      </c>
      <c r="E58">
        <v>2950186</v>
      </c>
      <c r="Q58" t="s">
        <v>1305</v>
      </c>
      <c r="R58">
        <v>786960</v>
      </c>
      <c r="S58">
        <v>995028</v>
      </c>
      <c r="T58">
        <v>3603444</v>
      </c>
    </row>
    <row r="59" spans="1:20">
      <c r="A59" t="s">
        <v>1390</v>
      </c>
      <c r="B59">
        <v>4699555</v>
      </c>
      <c r="C59">
        <v>786960</v>
      </c>
      <c r="D59">
        <v>995028</v>
      </c>
      <c r="E59">
        <v>3603444</v>
      </c>
      <c r="Q59" t="s">
        <v>1310</v>
      </c>
      <c r="R59">
        <v>913929</v>
      </c>
      <c r="S59">
        <v>1139607</v>
      </c>
      <c r="T59">
        <v>4343664</v>
      </c>
    </row>
    <row r="60" spans="1:20">
      <c r="Q60" t="s">
        <v>1311</v>
      </c>
      <c r="R60">
        <v>996522</v>
      </c>
      <c r="S60">
        <v>1319851</v>
      </c>
      <c r="T60">
        <v>5177882</v>
      </c>
    </row>
    <row r="61" spans="1:20">
      <c r="Q61" t="s">
        <v>1395</v>
      </c>
      <c r="R61">
        <v>1210801</v>
      </c>
      <c r="S61">
        <v>1541527</v>
      </c>
      <c r="T61">
        <v>6015165</v>
      </c>
    </row>
    <row r="62" spans="1:20">
      <c r="Q62" t="s">
        <v>1396</v>
      </c>
      <c r="R62">
        <v>1381046</v>
      </c>
      <c r="S62">
        <v>1631242</v>
      </c>
      <c r="T62">
        <v>6968805</v>
      </c>
    </row>
    <row r="63" spans="1:20">
      <c r="Q63" t="s">
        <v>1397</v>
      </c>
      <c r="R63">
        <v>1463829</v>
      </c>
      <c r="S63">
        <v>1786311</v>
      </c>
      <c r="T63">
        <v>7908942</v>
      </c>
    </row>
    <row r="64" spans="1:20">
      <c r="Q64" t="s">
        <v>1398</v>
      </c>
      <c r="R64">
        <v>1592672</v>
      </c>
      <c r="S64">
        <v>1957330</v>
      </c>
      <c r="T64">
        <v>8982214</v>
      </c>
    </row>
    <row r="65" spans="17:20">
      <c r="Q65" t="s">
        <v>1399</v>
      </c>
      <c r="R65">
        <v>1753773</v>
      </c>
      <c r="S65">
        <v>2165121</v>
      </c>
      <c r="T65">
        <v>10051756</v>
      </c>
    </row>
    <row r="66" spans="17:20">
      <c r="Q66" t="s">
        <v>1400</v>
      </c>
      <c r="R66">
        <v>1966142</v>
      </c>
      <c r="S66">
        <v>2410190</v>
      </c>
      <c r="T66">
        <v>11130363</v>
      </c>
    </row>
    <row r="67" spans="17:20">
      <c r="Q67" t="s">
        <v>1401</v>
      </c>
      <c r="R67">
        <v>1940597</v>
      </c>
      <c r="S67">
        <v>2503182</v>
      </c>
      <c r="T67">
        <v>12161285</v>
      </c>
    </row>
    <row r="68" spans="17:20">
      <c r="Q68" t="s">
        <v>1402</v>
      </c>
      <c r="R68">
        <v>2126550</v>
      </c>
      <c r="S68">
        <v>2826086</v>
      </c>
      <c r="T68">
        <v>13105439</v>
      </c>
    </row>
    <row r="69" spans="17:20">
      <c r="Q69" t="s">
        <v>1403</v>
      </c>
      <c r="R69">
        <v>2541889</v>
      </c>
      <c r="S69">
        <v>3293466</v>
      </c>
      <c r="T69">
        <v>14446838</v>
      </c>
    </row>
    <row r="70" spans="17:20">
      <c r="Q70" t="s">
        <v>1404</v>
      </c>
      <c r="R70">
        <v>2854806</v>
      </c>
      <c r="S70">
        <v>3694833</v>
      </c>
      <c r="T70">
        <v>15909363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79258-53D4-4BBA-8787-AA04CAC2BC80}">
  <dimension ref="A1:G61"/>
  <sheetViews>
    <sheetView topLeftCell="A47" workbookViewId="0">
      <selection activeCell="G61" sqref="G61"/>
    </sheetView>
  </sheetViews>
  <sheetFormatPr defaultRowHeight="15"/>
  <cols>
    <col min="2" max="2" width="12.5703125" bestFit="1" customWidth="1"/>
    <col min="3" max="3" width="11.28515625" bestFit="1" customWidth="1"/>
    <col min="4" max="4" width="14" bestFit="1" customWidth="1"/>
    <col min="5" max="5" width="13.28515625" bestFit="1" customWidth="1"/>
  </cols>
  <sheetData>
    <row r="1" spans="1:5">
      <c r="B1" t="s">
        <v>99</v>
      </c>
    </row>
    <row r="3" spans="1:5">
      <c r="B3" t="s">
        <v>100</v>
      </c>
      <c r="C3" t="s">
        <v>101</v>
      </c>
      <c r="D3" t="s">
        <v>102</v>
      </c>
      <c r="E3" t="s">
        <v>103</v>
      </c>
    </row>
    <row r="4" spans="1:5">
      <c r="A4" t="s">
        <v>63</v>
      </c>
      <c r="B4" t="s">
        <v>104</v>
      </c>
      <c r="C4" t="s">
        <v>105</v>
      </c>
      <c r="D4" t="s">
        <v>106</v>
      </c>
      <c r="E4" t="s">
        <v>107</v>
      </c>
    </row>
    <row r="5" spans="1:5">
      <c r="A5">
        <v>1980</v>
      </c>
      <c r="B5">
        <v>77.400000000000006</v>
      </c>
      <c r="C5">
        <v>51.5</v>
      </c>
      <c r="D5">
        <v>6.9</v>
      </c>
      <c r="E5">
        <v>7.4</v>
      </c>
    </row>
    <row r="6" spans="1:5">
      <c r="A6">
        <v>1981</v>
      </c>
      <c r="B6">
        <v>77</v>
      </c>
      <c r="C6">
        <v>52.1</v>
      </c>
      <c r="D6">
        <v>7.4</v>
      </c>
      <c r="E6">
        <v>7.9</v>
      </c>
    </row>
    <row r="7" spans="1:5">
      <c r="A7">
        <v>1982</v>
      </c>
      <c r="B7">
        <v>76.599999999999994</v>
      </c>
      <c r="C7">
        <v>52.6</v>
      </c>
      <c r="D7">
        <v>9.9</v>
      </c>
      <c r="E7">
        <v>9.4</v>
      </c>
    </row>
    <row r="8" spans="1:5">
      <c r="A8">
        <v>1983</v>
      </c>
      <c r="B8">
        <v>76.400000000000006</v>
      </c>
      <c r="C8">
        <v>52.9</v>
      </c>
      <c r="D8">
        <v>9.9</v>
      </c>
      <c r="E8">
        <v>9.1999999999999993</v>
      </c>
    </row>
    <row r="9" spans="1:5">
      <c r="A9">
        <v>1984</v>
      </c>
      <c r="B9">
        <v>76.400000000000006</v>
      </c>
      <c r="C9">
        <v>53.6</v>
      </c>
      <c r="D9">
        <v>7.4</v>
      </c>
      <c r="E9">
        <v>7.6</v>
      </c>
    </row>
    <row r="10" spans="1:5">
      <c r="A10">
        <v>1985</v>
      </c>
      <c r="B10">
        <v>76.3</v>
      </c>
      <c r="C10">
        <v>54.5</v>
      </c>
      <c r="D10">
        <v>7</v>
      </c>
      <c r="E10">
        <v>7.4</v>
      </c>
    </row>
    <row r="11" spans="1:5">
      <c r="A11">
        <v>1986</v>
      </c>
      <c r="B11">
        <v>76.3</v>
      </c>
      <c r="C11">
        <v>55.3</v>
      </c>
      <c r="D11">
        <v>6.9</v>
      </c>
      <c r="E11">
        <v>7.1</v>
      </c>
    </row>
    <row r="12" spans="1:5">
      <c r="A12">
        <v>1987</v>
      </c>
      <c r="B12">
        <v>76.2</v>
      </c>
      <c r="C12">
        <v>56</v>
      </c>
      <c r="D12">
        <v>6.2</v>
      </c>
      <c r="E12">
        <v>6.2</v>
      </c>
    </row>
    <row r="13" spans="1:5">
      <c r="A13">
        <v>1988</v>
      </c>
      <c r="B13">
        <v>76.2</v>
      </c>
      <c r="C13">
        <v>56.6</v>
      </c>
      <c r="D13">
        <v>5.5</v>
      </c>
      <c r="E13">
        <v>5.6</v>
      </c>
    </row>
    <row r="14" spans="1:5">
      <c r="A14">
        <v>1989</v>
      </c>
      <c r="B14">
        <v>76.400000000000006</v>
      </c>
      <c r="C14">
        <v>57.4</v>
      </c>
      <c r="D14">
        <v>5.2</v>
      </c>
      <c r="E14">
        <v>5.4</v>
      </c>
    </row>
    <row r="15" spans="1:5">
      <c r="A15">
        <v>1990</v>
      </c>
      <c r="B15">
        <v>76.400000000000006</v>
      </c>
      <c r="C15">
        <v>57.5</v>
      </c>
      <c r="D15">
        <v>5.7</v>
      </c>
      <c r="E15">
        <v>5.5</v>
      </c>
    </row>
    <row r="16" spans="1:5">
      <c r="A16">
        <v>1991</v>
      </c>
      <c r="B16">
        <v>75.8</v>
      </c>
      <c r="C16">
        <v>57.4</v>
      </c>
      <c r="D16">
        <v>7.2</v>
      </c>
      <c r="E16">
        <v>6.4</v>
      </c>
    </row>
    <row r="17" spans="1:5">
      <c r="A17">
        <v>1992</v>
      </c>
      <c r="B17">
        <v>75.8</v>
      </c>
      <c r="C17">
        <v>57.8</v>
      </c>
      <c r="D17">
        <v>7.9</v>
      </c>
      <c r="E17">
        <v>7</v>
      </c>
    </row>
    <row r="18" spans="1:5">
      <c r="A18">
        <v>1993</v>
      </c>
      <c r="B18">
        <v>75.400000000000006</v>
      </c>
      <c r="C18">
        <v>57.9</v>
      </c>
      <c r="D18">
        <v>7.2</v>
      </c>
      <c r="E18">
        <v>6.6</v>
      </c>
    </row>
    <row r="19" spans="1:5">
      <c r="A19">
        <v>1994</v>
      </c>
      <c r="B19">
        <v>75.099999999999994</v>
      </c>
      <c r="C19">
        <v>58.8</v>
      </c>
      <c r="D19">
        <v>6.2</v>
      </c>
      <c r="E19">
        <v>6</v>
      </c>
    </row>
    <row r="20" spans="1:5">
      <c r="A20">
        <v>1995</v>
      </c>
      <c r="B20">
        <v>75</v>
      </c>
      <c r="C20">
        <v>58.9</v>
      </c>
      <c r="D20">
        <v>5.6</v>
      </c>
      <c r="E20">
        <v>5.6</v>
      </c>
    </row>
    <row r="21" spans="1:5">
      <c r="A21">
        <v>1996</v>
      </c>
      <c r="B21">
        <v>74.900000000000006</v>
      </c>
      <c r="C21">
        <v>59.3</v>
      </c>
      <c r="D21">
        <v>5.4</v>
      </c>
      <c r="E21">
        <v>5.4</v>
      </c>
    </row>
    <row r="22" spans="1:5">
      <c r="A22">
        <v>1997</v>
      </c>
      <c r="B22">
        <v>75</v>
      </c>
      <c r="C22">
        <v>59.8</v>
      </c>
      <c r="D22">
        <v>4.9000000000000004</v>
      </c>
      <c r="E22">
        <v>5</v>
      </c>
    </row>
    <row r="23" spans="1:5">
      <c r="A23">
        <v>1998</v>
      </c>
      <c r="B23">
        <v>74.900000000000006</v>
      </c>
      <c r="C23">
        <v>59.8</v>
      </c>
      <c r="D23">
        <v>4.4000000000000004</v>
      </c>
      <c r="E23">
        <v>4.5999999999999996</v>
      </c>
    </row>
    <row r="24" spans="1:5">
      <c r="A24">
        <v>1999</v>
      </c>
      <c r="B24">
        <v>74.7</v>
      </c>
      <c r="C24">
        <v>60</v>
      </c>
      <c r="D24">
        <v>4.0999999999999996</v>
      </c>
      <c r="E24">
        <v>4.3</v>
      </c>
    </row>
    <row r="25" spans="1:5">
      <c r="A25">
        <v>2000</v>
      </c>
      <c r="B25">
        <v>74.8</v>
      </c>
      <c r="C25">
        <v>59.9</v>
      </c>
      <c r="D25">
        <v>3.9</v>
      </c>
      <c r="E25">
        <v>4.0999999999999996</v>
      </c>
    </row>
    <row r="26" spans="1:5">
      <c r="A26">
        <v>2001</v>
      </c>
      <c r="B26">
        <v>74.400000000000006</v>
      </c>
      <c r="C26">
        <v>59.8</v>
      </c>
      <c r="D26">
        <v>4.8</v>
      </c>
      <c r="E26">
        <v>4.7</v>
      </c>
    </row>
    <row r="27" spans="1:5">
      <c r="A27">
        <v>2002</v>
      </c>
      <c r="B27">
        <v>74.099999999999994</v>
      </c>
      <c r="C27">
        <v>59.6</v>
      </c>
      <c r="D27">
        <v>5.9</v>
      </c>
      <c r="E27">
        <v>5.6</v>
      </c>
    </row>
    <row r="28" spans="1:5">
      <c r="A28">
        <v>2003</v>
      </c>
      <c r="B28">
        <v>73.5</v>
      </c>
      <c r="C28">
        <v>59.5</v>
      </c>
      <c r="D28">
        <v>6.3</v>
      </c>
      <c r="E28">
        <v>5.7</v>
      </c>
    </row>
    <row r="29" spans="1:5">
      <c r="A29">
        <v>2004</v>
      </c>
      <c r="B29">
        <v>73.3</v>
      </c>
      <c r="C29">
        <v>59.2</v>
      </c>
      <c r="D29">
        <v>5.6</v>
      </c>
      <c r="E29">
        <v>5.4</v>
      </c>
    </row>
    <row r="30" spans="1:5">
      <c r="A30">
        <v>2005</v>
      </c>
      <c r="B30">
        <v>73.3</v>
      </c>
      <c r="C30">
        <v>59.3</v>
      </c>
      <c r="D30">
        <v>5.0999999999999996</v>
      </c>
      <c r="E30">
        <v>5.0999999999999996</v>
      </c>
    </row>
    <row r="31" spans="1:5">
      <c r="A31">
        <v>2006</v>
      </c>
      <c r="B31">
        <v>73.5</v>
      </c>
      <c r="C31">
        <v>59.4</v>
      </c>
      <c r="D31">
        <v>4.5999999999999996</v>
      </c>
      <c r="E31">
        <v>4.5999999999999996</v>
      </c>
    </row>
    <row r="34" spans="1:7">
      <c r="A34" t="s">
        <v>63</v>
      </c>
      <c r="B34" t="s">
        <v>100</v>
      </c>
      <c r="C34" t="s">
        <v>101</v>
      </c>
      <c r="D34" t="s">
        <v>102</v>
      </c>
      <c r="E34" t="s">
        <v>103</v>
      </c>
      <c r="F34" t="s">
        <v>1253</v>
      </c>
      <c r="G34" t="s">
        <v>1307</v>
      </c>
    </row>
    <row r="35" spans="1:7">
      <c r="A35">
        <v>1980</v>
      </c>
      <c r="B35">
        <v>77.400000000000006</v>
      </c>
      <c r="C35">
        <v>51.5</v>
      </c>
      <c r="D35">
        <v>6.9</v>
      </c>
      <c r="E35">
        <v>7.4</v>
      </c>
      <c r="F35">
        <v>7.99</v>
      </c>
      <c r="G35">
        <v>6.84</v>
      </c>
    </row>
    <row r="36" spans="1:7">
      <c r="A36">
        <v>1981</v>
      </c>
      <c r="B36">
        <v>77</v>
      </c>
      <c r="C36">
        <v>52.1</v>
      </c>
      <c r="D36">
        <v>7.4</v>
      </c>
      <c r="E36">
        <v>7.9</v>
      </c>
      <c r="F36">
        <v>7.88</v>
      </c>
      <c r="G36">
        <v>7.43</v>
      </c>
    </row>
    <row r="37" spans="1:7">
      <c r="A37">
        <v>1982</v>
      </c>
      <c r="B37">
        <v>76.599999999999994</v>
      </c>
      <c r="C37">
        <v>52.6</v>
      </c>
      <c r="D37">
        <v>9.9</v>
      </c>
      <c r="E37">
        <v>9.4</v>
      </c>
      <c r="F37">
        <v>7.86</v>
      </c>
      <c r="G37">
        <v>7.86</v>
      </c>
    </row>
    <row r="38" spans="1:7">
      <c r="A38">
        <v>1983</v>
      </c>
      <c r="B38">
        <v>76.400000000000006</v>
      </c>
      <c r="C38">
        <v>52.9</v>
      </c>
      <c r="D38">
        <v>9.9</v>
      </c>
      <c r="E38">
        <v>9.1999999999999993</v>
      </c>
      <c r="F38">
        <v>7.95</v>
      </c>
      <c r="G38">
        <v>8.19</v>
      </c>
    </row>
    <row r="39" spans="1:7">
      <c r="A39">
        <v>1984</v>
      </c>
      <c r="B39">
        <v>76.400000000000006</v>
      </c>
      <c r="C39">
        <v>53.6</v>
      </c>
      <c r="D39">
        <v>7.4</v>
      </c>
      <c r="E39">
        <v>7.6</v>
      </c>
      <c r="F39">
        <v>7.95</v>
      </c>
      <c r="G39">
        <v>8.48</v>
      </c>
    </row>
    <row r="40" spans="1:7">
      <c r="A40">
        <v>1985</v>
      </c>
      <c r="B40">
        <v>76.3</v>
      </c>
      <c r="C40">
        <v>54.5</v>
      </c>
      <c r="D40">
        <v>7</v>
      </c>
      <c r="E40">
        <v>7.4</v>
      </c>
      <c r="F40">
        <v>7.91</v>
      </c>
      <c r="G40">
        <v>8.73</v>
      </c>
    </row>
    <row r="41" spans="1:7">
      <c r="A41">
        <v>1986</v>
      </c>
      <c r="B41">
        <v>76.3</v>
      </c>
      <c r="C41">
        <v>55.3</v>
      </c>
      <c r="D41">
        <v>6.9</v>
      </c>
      <c r="E41">
        <v>7.1</v>
      </c>
      <c r="F41">
        <v>7.96</v>
      </c>
      <c r="G41">
        <v>8.92</v>
      </c>
    </row>
    <row r="42" spans="1:7">
      <c r="A42">
        <v>1987</v>
      </c>
      <c r="B42">
        <v>76.2</v>
      </c>
      <c r="C42">
        <v>56</v>
      </c>
      <c r="D42">
        <v>6.2</v>
      </c>
      <c r="E42">
        <v>6.2</v>
      </c>
      <c r="F42">
        <v>7.86</v>
      </c>
      <c r="G42">
        <v>9.1300000000000008</v>
      </c>
    </row>
    <row r="43" spans="1:7">
      <c r="A43">
        <v>1988</v>
      </c>
      <c r="B43">
        <v>76.2</v>
      </c>
      <c r="C43">
        <v>56.6</v>
      </c>
      <c r="D43">
        <v>5.5</v>
      </c>
      <c r="E43">
        <v>5.6</v>
      </c>
      <c r="F43">
        <v>7.81</v>
      </c>
      <c r="G43">
        <v>9.43</v>
      </c>
    </row>
    <row r="44" spans="1:7">
      <c r="A44">
        <v>1989</v>
      </c>
      <c r="B44">
        <v>76.400000000000006</v>
      </c>
      <c r="C44">
        <v>57.4</v>
      </c>
      <c r="D44">
        <v>5.2</v>
      </c>
      <c r="E44">
        <v>5.4</v>
      </c>
      <c r="F44">
        <v>7.75</v>
      </c>
      <c r="G44">
        <v>9.8000000000000007</v>
      </c>
    </row>
    <row r="45" spans="1:7">
      <c r="A45">
        <v>1990</v>
      </c>
      <c r="B45">
        <v>76.400000000000006</v>
      </c>
      <c r="C45">
        <v>57.5</v>
      </c>
      <c r="D45">
        <v>5.7</v>
      </c>
      <c r="E45">
        <v>5.5</v>
      </c>
      <c r="F45">
        <v>7.66</v>
      </c>
      <c r="G45">
        <v>10.19</v>
      </c>
    </row>
    <row r="46" spans="1:7">
      <c r="A46">
        <v>1991</v>
      </c>
      <c r="B46">
        <v>75.8</v>
      </c>
      <c r="C46">
        <v>57.4</v>
      </c>
      <c r="D46">
        <v>7.2</v>
      </c>
      <c r="E46">
        <v>6.4</v>
      </c>
      <c r="F46">
        <v>7.58</v>
      </c>
      <c r="G46">
        <v>10.5</v>
      </c>
    </row>
    <row r="47" spans="1:7">
      <c r="A47">
        <v>1992</v>
      </c>
      <c r="B47">
        <v>75.8</v>
      </c>
      <c r="C47">
        <v>57.8</v>
      </c>
      <c r="D47">
        <v>7.9</v>
      </c>
      <c r="E47">
        <v>7</v>
      </c>
      <c r="F47">
        <v>7.55</v>
      </c>
      <c r="G47">
        <v>10.76</v>
      </c>
    </row>
    <row r="48" spans="1:7">
      <c r="A48">
        <v>1993</v>
      </c>
      <c r="B48">
        <v>75.400000000000006</v>
      </c>
      <c r="C48">
        <v>57.9</v>
      </c>
      <c r="D48">
        <v>7.2</v>
      </c>
      <c r="E48">
        <v>6.6</v>
      </c>
      <c r="F48">
        <v>7.52</v>
      </c>
      <c r="G48">
        <v>11.03</v>
      </c>
    </row>
    <row r="49" spans="1:7">
      <c r="A49">
        <v>1994</v>
      </c>
      <c r="B49">
        <v>75.099999999999994</v>
      </c>
      <c r="C49">
        <v>58.8</v>
      </c>
      <c r="D49">
        <v>6.2</v>
      </c>
      <c r="E49">
        <v>6</v>
      </c>
      <c r="F49">
        <v>7.53</v>
      </c>
      <c r="G49">
        <v>11.32</v>
      </c>
    </row>
    <row r="50" spans="1:7">
      <c r="A50">
        <v>1995</v>
      </c>
      <c r="B50">
        <v>75</v>
      </c>
      <c r="C50">
        <v>58.9</v>
      </c>
      <c r="D50">
        <v>5.6</v>
      </c>
      <c r="E50">
        <v>5.6</v>
      </c>
      <c r="F50">
        <v>7.53</v>
      </c>
      <c r="G50">
        <v>11.64</v>
      </c>
    </row>
    <row r="51" spans="1:7">
      <c r="A51">
        <v>1996</v>
      </c>
      <c r="B51">
        <v>74.900000000000006</v>
      </c>
      <c r="C51">
        <v>59.3</v>
      </c>
      <c r="D51">
        <v>5.4</v>
      </c>
      <c r="E51">
        <v>5.4</v>
      </c>
      <c r="F51">
        <v>7.57</v>
      </c>
      <c r="G51">
        <v>12.03</v>
      </c>
    </row>
    <row r="52" spans="1:7">
      <c r="A52">
        <v>1997</v>
      </c>
      <c r="B52">
        <v>75</v>
      </c>
      <c r="C52">
        <v>59.8</v>
      </c>
      <c r="D52">
        <v>4.9000000000000004</v>
      </c>
      <c r="E52">
        <v>5</v>
      </c>
      <c r="F52">
        <v>7.68</v>
      </c>
      <c r="G52">
        <v>12.49</v>
      </c>
    </row>
    <row r="53" spans="1:7">
      <c r="A53">
        <v>1998</v>
      </c>
      <c r="B53">
        <v>74.900000000000006</v>
      </c>
      <c r="C53">
        <v>59.8</v>
      </c>
      <c r="D53">
        <v>4.4000000000000004</v>
      </c>
      <c r="E53">
        <v>4.5999999999999996</v>
      </c>
      <c r="F53">
        <v>7.89</v>
      </c>
      <c r="G53">
        <v>13</v>
      </c>
    </row>
    <row r="54" spans="1:7">
      <c r="A54">
        <v>1999</v>
      </c>
      <c r="B54">
        <v>74.7</v>
      </c>
      <c r="C54">
        <v>60</v>
      </c>
      <c r="D54">
        <v>4.0999999999999996</v>
      </c>
      <c r="E54">
        <v>4.3</v>
      </c>
      <c r="F54">
        <v>8</v>
      </c>
      <c r="G54">
        <v>13.47</v>
      </c>
    </row>
    <row r="55" spans="1:7">
      <c r="A55">
        <v>2000</v>
      </c>
      <c r="B55">
        <v>74.8</v>
      </c>
      <c r="C55">
        <v>59.9</v>
      </c>
      <c r="D55">
        <v>3.9</v>
      </c>
      <c r="E55">
        <v>4.0999999999999996</v>
      </c>
      <c r="F55">
        <v>8.0299999999999994</v>
      </c>
      <c r="G55">
        <v>14</v>
      </c>
    </row>
    <row r="56" spans="1:7">
      <c r="A56">
        <v>2001</v>
      </c>
      <c r="B56">
        <v>74.400000000000006</v>
      </c>
      <c r="C56">
        <v>59.8</v>
      </c>
      <c r="D56">
        <v>4.8</v>
      </c>
      <c r="E56">
        <v>4.7</v>
      </c>
      <c r="F56">
        <v>8.11</v>
      </c>
      <c r="G56">
        <v>14.53</v>
      </c>
    </row>
    <row r="57" spans="1:7">
      <c r="A57">
        <v>2002</v>
      </c>
      <c r="B57">
        <v>74.099999999999994</v>
      </c>
      <c r="C57">
        <v>59.6</v>
      </c>
      <c r="D57">
        <v>5.9</v>
      </c>
      <c r="E57">
        <v>5.6</v>
      </c>
      <c r="F57">
        <v>8.24</v>
      </c>
      <c r="G57">
        <v>14.95</v>
      </c>
    </row>
    <row r="58" spans="1:7">
      <c r="A58">
        <v>2003</v>
      </c>
      <c r="B58">
        <v>73.5</v>
      </c>
      <c r="C58">
        <v>59.5</v>
      </c>
      <c r="D58">
        <v>6.3</v>
      </c>
      <c r="E58">
        <v>5.7</v>
      </c>
      <c r="F58">
        <v>8.27</v>
      </c>
      <c r="G58">
        <v>15.35</v>
      </c>
    </row>
    <row r="59" spans="1:7">
      <c r="A59">
        <v>2004</v>
      </c>
      <c r="B59">
        <v>73.3</v>
      </c>
      <c r="C59">
        <v>59.2</v>
      </c>
      <c r="D59">
        <v>5.6</v>
      </c>
      <c r="E59">
        <v>5.4</v>
      </c>
      <c r="F59">
        <v>8.23</v>
      </c>
      <c r="G59">
        <v>15.67</v>
      </c>
    </row>
    <row r="60" spans="1:7">
      <c r="A60">
        <v>2005</v>
      </c>
      <c r="B60">
        <v>73.3</v>
      </c>
      <c r="C60">
        <v>59.3</v>
      </c>
      <c r="D60">
        <v>5.0999999999999996</v>
      </c>
      <c r="E60">
        <v>5.0999999999999996</v>
      </c>
      <c r="F60">
        <v>8.17</v>
      </c>
      <c r="G60">
        <v>16.11</v>
      </c>
    </row>
    <row r="61" spans="1:7">
      <c r="A61">
        <v>2006</v>
      </c>
      <c r="B61">
        <v>73.5</v>
      </c>
      <c r="C61">
        <v>59.4</v>
      </c>
      <c r="D61">
        <v>4.5999999999999996</v>
      </c>
      <c r="E61">
        <v>4.5999999999999996</v>
      </c>
      <c r="F61">
        <v>8.23</v>
      </c>
      <c r="G61">
        <v>16.73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03E1-930A-4F29-9EA8-0EED9E15DC1F}">
  <dimension ref="A1:J94"/>
  <sheetViews>
    <sheetView workbookViewId="0">
      <selection activeCell="J94" sqref="J94"/>
    </sheetView>
  </sheetViews>
  <sheetFormatPr defaultRowHeight="15"/>
  <sheetData>
    <row r="1" spans="1:10">
      <c r="A1" t="s">
        <v>959</v>
      </c>
    </row>
    <row r="4" spans="1:10">
      <c r="A4" t="s">
        <v>643</v>
      </c>
      <c r="B4" t="s">
        <v>960</v>
      </c>
      <c r="C4" t="s">
        <v>524</v>
      </c>
      <c r="D4" t="s">
        <v>917</v>
      </c>
      <c r="E4" t="s">
        <v>961</v>
      </c>
      <c r="F4" t="s">
        <v>694</v>
      </c>
      <c r="G4" t="s">
        <v>962</v>
      </c>
      <c r="H4" t="s">
        <v>963</v>
      </c>
      <c r="I4" t="s">
        <v>964</v>
      </c>
      <c r="J4" t="s">
        <v>965</v>
      </c>
    </row>
    <row r="5" spans="1:10">
      <c r="A5">
        <v>1</v>
      </c>
      <c r="B5">
        <v>1</v>
      </c>
      <c r="C5">
        <v>1140640</v>
      </c>
      <c r="D5">
        <v>0.95275699999999997</v>
      </c>
      <c r="E5">
        <v>106650</v>
      </c>
      <c r="F5">
        <v>0.53448700000000005</v>
      </c>
      <c r="G5">
        <v>13.9471001</v>
      </c>
      <c r="H5">
        <v>-4.8395399999999998E-2</v>
      </c>
      <c r="I5">
        <v>11.5773077</v>
      </c>
      <c r="J5">
        <v>-0.62644789999999995</v>
      </c>
    </row>
    <row r="6" spans="1:10">
      <c r="A6">
        <v>1</v>
      </c>
      <c r="B6">
        <v>2</v>
      </c>
      <c r="C6">
        <v>1215690</v>
      </c>
      <c r="D6">
        <v>0.986757</v>
      </c>
      <c r="E6">
        <v>110307</v>
      </c>
      <c r="F6">
        <v>0.53232800000000002</v>
      </c>
      <c r="G6">
        <v>14.0108224</v>
      </c>
      <c r="H6">
        <v>-1.33315E-2</v>
      </c>
      <c r="I6">
        <v>11.611022699999999</v>
      </c>
      <c r="J6">
        <v>-0.63049540000000004</v>
      </c>
    </row>
    <row r="7" spans="1:10">
      <c r="A7">
        <v>1</v>
      </c>
      <c r="B7">
        <v>3</v>
      </c>
      <c r="C7">
        <v>1309570</v>
      </c>
      <c r="D7">
        <v>1.09198</v>
      </c>
      <c r="E7">
        <v>110574</v>
      </c>
      <c r="F7">
        <v>0.547736</v>
      </c>
      <c r="G7">
        <v>14.0852094</v>
      </c>
      <c r="H7">
        <v>8.7992559999999997E-2</v>
      </c>
      <c r="I7">
        <v>11.613440300000001</v>
      </c>
      <c r="J7">
        <v>-0.60196190000000005</v>
      </c>
    </row>
    <row r="8" spans="1:10">
      <c r="A8">
        <v>1</v>
      </c>
      <c r="B8">
        <v>4</v>
      </c>
      <c r="C8">
        <v>1511530</v>
      </c>
      <c r="D8">
        <v>1.17578</v>
      </c>
      <c r="E8">
        <v>121974</v>
      </c>
      <c r="F8">
        <v>0.54084600000000005</v>
      </c>
      <c r="G8">
        <v>14.228632899999999</v>
      </c>
      <c r="H8">
        <v>0.16193176000000001</v>
      </c>
      <c r="I8">
        <v>11.711563200000001</v>
      </c>
      <c r="J8">
        <v>-0.61462070000000002</v>
      </c>
    </row>
    <row r="9" spans="1:10">
      <c r="A9">
        <v>1</v>
      </c>
      <c r="B9">
        <v>5</v>
      </c>
      <c r="C9">
        <v>1676730</v>
      </c>
      <c r="D9">
        <v>1.1601699999999999</v>
      </c>
      <c r="E9">
        <v>196606</v>
      </c>
      <c r="F9">
        <v>0.591167</v>
      </c>
      <c r="G9">
        <v>14.332356000000001</v>
      </c>
      <c r="H9">
        <v>0.14856654999999999</v>
      </c>
      <c r="I9">
        <v>12.188957</v>
      </c>
      <c r="J9">
        <v>-0.52565669999999998</v>
      </c>
    </row>
    <row r="10" spans="1:10">
      <c r="A10">
        <v>1</v>
      </c>
      <c r="B10">
        <v>6</v>
      </c>
      <c r="C10">
        <v>1823740</v>
      </c>
      <c r="D10">
        <v>1.1737599999999999</v>
      </c>
      <c r="E10">
        <v>265609</v>
      </c>
      <c r="F10">
        <v>0.57541699999999996</v>
      </c>
      <c r="G10">
        <v>14.4163999</v>
      </c>
      <c r="H10">
        <v>0.16021226999999999</v>
      </c>
      <c r="I10">
        <v>12.4897806</v>
      </c>
      <c r="J10">
        <v>-0.55266029999999999</v>
      </c>
    </row>
    <row r="11" spans="1:10">
      <c r="A11">
        <v>1</v>
      </c>
      <c r="B11">
        <v>7</v>
      </c>
      <c r="C11">
        <v>2022890</v>
      </c>
      <c r="D11">
        <v>1.29051</v>
      </c>
      <c r="E11">
        <v>263451</v>
      </c>
      <c r="F11">
        <v>0.594495</v>
      </c>
      <c r="G11">
        <v>14.5200377</v>
      </c>
      <c r="H11">
        <v>0.25503748999999998</v>
      </c>
      <c r="I11">
        <v>12.481622700000001</v>
      </c>
      <c r="J11">
        <v>-0.52004300000000003</v>
      </c>
    </row>
    <row r="12" spans="1:10">
      <c r="A12">
        <v>1</v>
      </c>
      <c r="B12">
        <v>8</v>
      </c>
      <c r="C12">
        <v>2314760</v>
      </c>
      <c r="D12">
        <v>1.3906700000000001</v>
      </c>
      <c r="E12">
        <v>316411</v>
      </c>
      <c r="F12">
        <v>0.59740899999999997</v>
      </c>
      <c r="G12">
        <v>14.6548166</v>
      </c>
      <c r="H12">
        <v>0.32978564999999999</v>
      </c>
      <c r="I12">
        <v>12.6647973</v>
      </c>
      <c r="J12">
        <v>-0.51515330000000004</v>
      </c>
    </row>
    <row r="13" spans="1:10">
      <c r="A13">
        <v>1</v>
      </c>
      <c r="B13">
        <v>9</v>
      </c>
      <c r="C13">
        <v>2639160</v>
      </c>
      <c r="D13">
        <v>1.61273</v>
      </c>
      <c r="E13">
        <v>384110</v>
      </c>
      <c r="F13">
        <v>0.63852200000000003</v>
      </c>
      <c r="G13">
        <v>14.785971200000001</v>
      </c>
      <c r="H13">
        <v>0.47792839999999998</v>
      </c>
      <c r="I13">
        <v>12.858684200000001</v>
      </c>
      <c r="J13">
        <v>-0.44859909999999997</v>
      </c>
    </row>
    <row r="14" spans="1:10">
      <c r="A14">
        <v>1</v>
      </c>
      <c r="B14">
        <v>10</v>
      </c>
      <c r="C14">
        <v>3247620</v>
      </c>
      <c r="D14">
        <v>1.82544</v>
      </c>
      <c r="E14">
        <v>569251</v>
      </c>
      <c r="F14">
        <v>0.67628699999999997</v>
      </c>
      <c r="G14">
        <v>14.993433</v>
      </c>
      <c r="H14">
        <v>0.60182104999999997</v>
      </c>
      <c r="I14">
        <v>13.2520767</v>
      </c>
      <c r="J14">
        <v>-0.39113769999999998</v>
      </c>
    </row>
    <row r="15" spans="1:10">
      <c r="A15">
        <v>1</v>
      </c>
      <c r="B15">
        <v>11</v>
      </c>
      <c r="C15">
        <v>3787750</v>
      </c>
      <c r="D15">
        <v>1.5460400000000001</v>
      </c>
      <c r="E15">
        <v>871636</v>
      </c>
      <c r="F15">
        <v>0.60573500000000002</v>
      </c>
      <c r="G15">
        <v>15.1472827</v>
      </c>
      <c r="H15">
        <v>0.43569681999999998</v>
      </c>
      <c r="I15">
        <v>13.6781272</v>
      </c>
      <c r="J15">
        <v>-0.50131269999999994</v>
      </c>
    </row>
    <row r="16" spans="1:10">
      <c r="A16">
        <v>1</v>
      </c>
      <c r="B16">
        <v>12</v>
      </c>
      <c r="C16">
        <v>3867750</v>
      </c>
      <c r="D16">
        <v>1.5279</v>
      </c>
      <c r="E16">
        <v>997239</v>
      </c>
      <c r="F16">
        <v>0.61436000000000002</v>
      </c>
      <c r="G16">
        <v>15.1681835</v>
      </c>
      <c r="H16">
        <v>0.42389423999999998</v>
      </c>
      <c r="I16">
        <v>13.812745700000001</v>
      </c>
      <c r="J16">
        <v>-0.4871742</v>
      </c>
    </row>
    <row r="17" spans="1:10">
      <c r="A17">
        <v>1</v>
      </c>
      <c r="B17">
        <v>13</v>
      </c>
      <c r="C17">
        <v>3996020</v>
      </c>
      <c r="D17">
        <v>1.6601999999999999</v>
      </c>
      <c r="E17">
        <v>938002</v>
      </c>
      <c r="F17">
        <v>0.63336599999999998</v>
      </c>
      <c r="G17">
        <v>15.200809400000001</v>
      </c>
      <c r="H17">
        <v>0.50693807999999996</v>
      </c>
      <c r="I17">
        <v>13.751507399999999</v>
      </c>
      <c r="J17">
        <v>-0.45670680000000002</v>
      </c>
    </row>
    <row r="18" spans="1:10">
      <c r="A18">
        <v>1</v>
      </c>
      <c r="B18">
        <v>14</v>
      </c>
      <c r="C18">
        <v>4282880</v>
      </c>
      <c r="D18">
        <v>1.8223100000000001</v>
      </c>
      <c r="E18">
        <v>859572</v>
      </c>
      <c r="F18">
        <v>0.65011699999999994</v>
      </c>
      <c r="G18">
        <v>15.2701362</v>
      </c>
      <c r="H18">
        <v>0.60010492999999998</v>
      </c>
      <c r="I18">
        <v>13.6641899</v>
      </c>
      <c r="J18">
        <v>-0.43060290000000001</v>
      </c>
    </row>
    <row r="19" spans="1:10">
      <c r="A19">
        <v>1</v>
      </c>
      <c r="B19">
        <v>15</v>
      </c>
      <c r="C19">
        <v>4748320</v>
      </c>
      <c r="D19">
        <v>1.9364600000000001</v>
      </c>
      <c r="E19">
        <v>823411</v>
      </c>
      <c r="F19">
        <v>0.62560300000000002</v>
      </c>
      <c r="G19">
        <v>15.373301400000001</v>
      </c>
      <c r="H19">
        <v>0.66086155999999996</v>
      </c>
      <c r="I19">
        <v>13.621210700000001</v>
      </c>
      <c r="J19">
        <v>-0.46903929999999999</v>
      </c>
    </row>
    <row r="20" spans="1:10">
      <c r="A20">
        <v>2</v>
      </c>
      <c r="B20">
        <v>1</v>
      </c>
      <c r="C20">
        <v>569292</v>
      </c>
      <c r="D20">
        <v>0.52063499999999996</v>
      </c>
      <c r="E20">
        <v>103795</v>
      </c>
      <c r="F20">
        <v>0.49085099999999998</v>
      </c>
      <c r="G20">
        <v>13.252148800000001</v>
      </c>
      <c r="H20">
        <v>-0.65270609999999996</v>
      </c>
      <c r="I20">
        <v>11.5501731</v>
      </c>
      <c r="J20">
        <v>-0.71161470000000004</v>
      </c>
    </row>
    <row r="21" spans="1:10">
      <c r="A21">
        <v>2</v>
      </c>
      <c r="B21">
        <v>2</v>
      </c>
      <c r="C21">
        <v>640614</v>
      </c>
      <c r="D21">
        <v>0.53462699999999996</v>
      </c>
      <c r="E21">
        <v>111477</v>
      </c>
      <c r="F21">
        <v>0.47344900000000001</v>
      </c>
      <c r="G21">
        <v>13.370182399999999</v>
      </c>
      <c r="H21">
        <v>-0.62618600000000002</v>
      </c>
      <c r="I21">
        <v>11.6215736</v>
      </c>
      <c r="J21">
        <v>-0.74771109999999996</v>
      </c>
    </row>
    <row r="22" spans="1:10">
      <c r="A22">
        <v>2</v>
      </c>
      <c r="B22">
        <v>3</v>
      </c>
      <c r="C22">
        <v>777655</v>
      </c>
      <c r="D22">
        <v>0.655192</v>
      </c>
      <c r="E22">
        <v>118664</v>
      </c>
      <c r="F22">
        <v>0.50301300000000004</v>
      </c>
      <c r="G22">
        <v>13.5640383</v>
      </c>
      <c r="H22">
        <v>-0.42282700000000001</v>
      </c>
      <c r="I22">
        <v>11.684051200000001</v>
      </c>
      <c r="J22">
        <v>-0.68713930000000001</v>
      </c>
    </row>
    <row r="23" spans="1:10">
      <c r="A23">
        <v>2</v>
      </c>
      <c r="B23">
        <v>4</v>
      </c>
      <c r="C23">
        <v>999294</v>
      </c>
      <c r="D23">
        <v>0.79157500000000003</v>
      </c>
      <c r="E23">
        <v>114797</v>
      </c>
      <c r="F23">
        <v>0.51250099999999998</v>
      </c>
      <c r="G23">
        <v>13.8148043</v>
      </c>
      <c r="H23">
        <v>-0.23373060000000001</v>
      </c>
      <c r="I23">
        <v>11.650920599999999</v>
      </c>
      <c r="J23">
        <v>-0.66845259999999995</v>
      </c>
    </row>
    <row r="24" spans="1:10">
      <c r="A24">
        <v>2</v>
      </c>
      <c r="B24">
        <v>5</v>
      </c>
      <c r="C24">
        <v>1203970</v>
      </c>
      <c r="D24">
        <v>0.84294500000000006</v>
      </c>
      <c r="E24">
        <v>215322</v>
      </c>
      <c r="F24">
        <v>0.56678200000000001</v>
      </c>
      <c r="G24">
        <v>14.001135</v>
      </c>
      <c r="H24">
        <v>-0.17085359999999999</v>
      </c>
      <c r="I24">
        <v>12.279889900000001</v>
      </c>
      <c r="J24">
        <v>-0.56778050000000002</v>
      </c>
    </row>
    <row r="25" spans="1:10">
      <c r="A25">
        <v>2</v>
      </c>
      <c r="B25">
        <v>6</v>
      </c>
      <c r="C25">
        <v>1358100</v>
      </c>
      <c r="D25">
        <v>0.85289199999999998</v>
      </c>
      <c r="E25">
        <v>281704</v>
      </c>
      <c r="F25">
        <v>0.55813299999999999</v>
      </c>
      <c r="G25">
        <v>14.1215972</v>
      </c>
      <c r="H25">
        <v>-0.1591224</v>
      </c>
      <c r="I25">
        <v>12.548612200000001</v>
      </c>
      <c r="J25">
        <v>-0.58315799999999995</v>
      </c>
    </row>
    <row r="26" spans="1:10">
      <c r="A26">
        <v>2</v>
      </c>
      <c r="B26">
        <v>7</v>
      </c>
      <c r="C26">
        <v>1501350</v>
      </c>
      <c r="D26">
        <v>0.92284299999999997</v>
      </c>
      <c r="E26">
        <v>304818</v>
      </c>
      <c r="F26">
        <v>0.55879900000000005</v>
      </c>
      <c r="G26">
        <v>14.221875300000001</v>
      </c>
      <c r="H26">
        <v>-8.0296199999999998E-2</v>
      </c>
      <c r="I26">
        <v>12.627470199999999</v>
      </c>
      <c r="J26">
        <v>-0.58196539999999997</v>
      </c>
    </row>
    <row r="27" spans="1:10">
      <c r="A27">
        <v>2</v>
      </c>
      <c r="B27">
        <v>8</v>
      </c>
      <c r="C27">
        <v>1709270</v>
      </c>
      <c r="D27">
        <v>1</v>
      </c>
      <c r="E27">
        <v>348609</v>
      </c>
      <c r="F27">
        <v>0.57206999999999997</v>
      </c>
      <c r="G27">
        <v>14.3515769</v>
      </c>
      <c r="H27">
        <v>0</v>
      </c>
      <c r="I27">
        <v>12.761706200000001</v>
      </c>
      <c r="J27">
        <v>-0.55849389999999999</v>
      </c>
    </row>
    <row r="28" spans="1:10">
      <c r="A28">
        <v>2</v>
      </c>
      <c r="B28">
        <v>9</v>
      </c>
      <c r="C28">
        <v>2025400</v>
      </c>
      <c r="D28">
        <v>1.19845</v>
      </c>
      <c r="E28">
        <v>374579</v>
      </c>
      <c r="F28">
        <v>0.62476299999999996</v>
      </c>
      <c r="G28">
        <v>14.5212778</v>
      </c>
      <c r="H28">
        <v>0.18102905999999999</v>
      </c>
      <c r="I28">
        <v>12.833558</v>
      </c>
      <c r="J28">
        <v>-0.47038289999999999</v>
      </c>
    </row>
    <row r="29" spans="1:10">
      <c r="A29">
        <v>2</v>
      </c>
      <c r="B29">
        <v>10</v>
      </c>
      <c r="C29">
        <v>2548370</v>
      </c>
      <c r="D29">
        <v>1.34067</v>
      </c>
      <c r="E29">
        <v>544109</v>
      </c>
      <c r="F29">
        <v>0.62870599999999999</v>
      </c>
      <c r="G29">
        <v>14.7509645</v>
      </c>
      <c r="H29">
        <v>0.29316948999999998</v>
      </c>
      <c r="I29">
        <v>13.2069049</v>
      </c>
      <c r="J29">
        <v>-0.46409149999999999</v>
      </c>
    </row>
    <row r="30" spans="1:10">
      <c r="A30">
        <v>2</v>
      </c>
      <c r="B30">
        <v>11</v>
      </c>
      <c r="C30">
        <v>3137740</v>
      </c>
      <c r="D30">
        <v>1.3262400000000001</v>
      </c>
      <c r="E30">
        <v>853356</v>
      </c>
      <c r="F30">
        <v>0.58914999999999995</v>
      </c>
      <c r="G30">
        <v>14.9590134</v>
      </c>
      <c r="H30">
        <v>0.28234787</v>
      </c>
      <c r="I30">
        <v>13.656932100000001</v>
      </c>
      <c r="J30">
        <v>-0.5290745</v>
      </c>
    </row>
    <row r="31" spans="1:10">
      <c r="A31">
        <v>2</v>
      </c>
      <c r="B31">
        <v>12</v>
      </c>
      <c r="C31">
        <v>3557700</v>
      </c>
      <c r="D31">
        <v>1.2485200000000001</v>
      </c>
      <c r="E31">
        <v>1003200</v>
      </c>
      <c r="F31">
        <v>0.53261199999999997</v>
      </c>
      <c r="G31">
        <v>15.0846248</v>
      </c>
      <c r="H31">
        <v>0.22195885000000001</v>
      </c>
      <c r="I31">
        <v>13.818705400000001</v>
      </c>
      <c r="J31">
        <v>-0.62996209999999997</v>
      </c>
    </row>
    <row r="32" spans="1:10">
      <c r="A32">
        <v>2</v>
      </c>
      <c r="B32">
        <v>13</v>
      </c>
      <c r="C32">
        <v>3717740</v>
      </c>
      <c r="D32">
        <v>1.2543200000000001</v>
      </c>
      <c r="E32">
        <v>941977</v>
      </c>
      <c r="F32">
        <v>0.52665200000000001</v>
      </c>
      <c r="G32">
        <v>15.128626499999999</v>
      </c>
      <c r="H32">
        <v>0.22659359000000001</v>
      </c>
      <c r="I32">
        <v>13.7557361</v>
      </c>
      <c r="J32">
        <v>-0.64121530000000004</v>
      </c>
    </row>
    <row r="33" spans="1:10">
      <c r="A33">
        <v>2</v>
      </c>
      <c r="B33">
        <v>14</v>
      </c>
      <c r="C33">
        <v>3962370</v>
      </c>
      <c r="D33">
        <v>1.3717699999999999</v>
      </c>
      <c r="E33">
        <v>856533</v>
      </c>
      <c r="F33">
        <v>0.54016299999999995</v>
      </c>
      <c r="G33">
        <v>15.192352899999999</v>
      </c>
      <c r="H33">
        <v>0.31610188</v>
      </c>
      <c r="I33">
        <v>13.6606481</v>
      </c>
      <c r="J33">
        <v>-0.61588430000000005</v>
      </c>
    </row>
    <row r="34" spans="1:10">
      <c r="A34">
        <v>2</v>
      </c>
      <c r="B34">
        <v>15</v>
      </c>
      <c r="C34">
        <v>4209390</v>
      </c>
      <c r="D34">
        <v>1.38974</v>
      </c>
      <c r="E34">
        <v>821361</v>
      </c>
      <c r="F34">
        <v>0.528775</v>
      </c>
      <c r="G34">
        <v>15.252828299999999</v>
      </c>
      <c r="H34">
        <v>0.32911667999999999</v>
      </c>
      <c r="I34">
        <v>13.618717999999999</v>
      </c>
      <c r="J34">
        <v>-0.63719230000000004</v>
      </c>
    </row>
    <row r="35" spans="1:10">
      <c r="A35">
        <v>3</v>
      </c>
      <c r="B35">
        <v>1</v>
      </c>
      <c r="C35">
        <v>286298</v>
      </c>
      <c r="D35">
        <v>0.26242399999999999</v>
      </c>
      <c r="E35">
        <v>118788</v>
      </c>
      <c r="F35">
        <v>0.52433399999999997</v>
      </c>
      <c r="G35">
        <v>12.564788500000001</v>
      </c>
      <c r="H35">
        <v>-1.3377938</v>
      </c>
      <c r="I35">
        <v>11.6850957</v>
      </c>
      <c r="J35">
        <v>-0.64562640000000004</v>
      </c>
    </row>
    <row r="36" spans="1:10">
      <c r="A36">
        <v>3</v>
      </c>
      <c r="B36">
        <v>2</v>
      </c>
      <c r="C36">
        <v>309290</v>
      </c>
      <c r="D36">
        <v>0.26643299999999998</v>
      </c>
      <c r="E36">
        <v>123798</v>
      </c>
      <c r="F36">
        <v>0.53718500000000002</v>
      </c>
      <c r="G36">
        <v>12.642034600000001</v>
      </c>
      <c r="H36">
        <v>-1.3226325000000001</v>
      </c>
      <c r="I36">
        <v>11.7264065</v>
      </c>
      <c r="J36">
        <v>-0.62141270000000004</v>
      </c>
    </row>
    <row r="37" spans="1:10">
      <c r="A37">
        <v>3</v>
      </c>
      <c r="B37">
        <v>3</v>
      </c>
      <c r="C37">
        <v>342056</v>
      </c>
      <c r="D37">
        <v>0.30604300000000001</v>
      </c>
      <c r="E37">
        <v>122882</v>
      </c>
      <c r="F37">
        <v>0.58211900000000005</v>
      </c>
      <c r="G37">
        <v>12.7427297</v>
      </c>
      <c r="H37">
        <v>-1.1840297</v>
      </c>
      <c r="I37">
        <v>11.7189798</v>
      </c>
      <c r="J37">
        <v>-0.54108040000000002</v>
      </c>
    </row>
    <row r="38" spans="1:10">
      <c r="A38">
        <v>3</v>
      </c>
      <c r="B38">
        <v>4</v>
      </c>
      <c r="C38">
        <v>374595</v>
      </c>
      <c r="D38">
        <v>0.32558599999999999</v>
      </c>
      <c r="E38">
        <v>131274</v>
      </c>
      <c r="F38">
        <v>0.57948900000000003</v>
      </c>
      <c r="G38">
        <v>12.8336007</v>
      </c>
      <c r="H38">
        <v>-1.1221285999999999</v>
      </c>
      <c r="I38">
        <v>11.785042000000001</v>
      </c>
      <c r="J38">
        <v>-0.5456086</v>
      </c>
    </row>
    <row r="39" spans="1:10">
      <c r="A39">
        <v>3</v>
      </c>
      <c r="B39">
        <v>5</v>
      </c>
      <c r="C39">
        <v>450037</v>
      </c>
      <c r="D39">
        <v>0.34570600000000001</v>
      </c>
      <c r="E39">
        <v>222037</v>
      </c>
      <c r="F39">
        <v>0.60659200000000002</v>
      </c>
      <c r="G39">
        <v>13.017085099999999</v>
      </c>
      <c r="H39">
        <v>-1.0621666000000001</v>
      </c>
      <c r="I39">
        <v>12.3105993</v>
      </c>
      <c r="J39">
        <v>-0.49989889999999998</v>
      </c>
    </row>
    <row r="40" spans="1:10">
      <c r="A40">
        <v>3</v>
      </c>
      <c r="B40">
        <v>6</v>
      </c>
      <c r="C40">
        <v>510412</v>
      </c>
      <c r="D40">
        <v>0.36751699999999998</v>
      </c>
      <c r="E40">
        <v>278721</v>
      </c>
      <c r="F40">
        <v>0.60726999999999998</v>
      </c>
      <c r="G40">
        <v>13.1429735</v>
      </c>
      <c r="H40">
        <v>-1.0009857</v>
      </c>
      <c r="I40">
        <v>12.537966600000001</v>
      </c>
      <c r="J40">
        <v>-0.4987818</v>
      </c>
    </row>
    <row r="41" spans="1:10">
      <c r="A41">
        <v>3</v>
      </c>
      <c r="B41">
        <v>7</v>
      </c>
      <c r="C41">
        <v>575347</v>
      </c>
      <c r="D41">
        <v>0.409937</v>
      </c>
      <c r="E41">
        <v>306564</v>
      </c>
      <c r="F41">
        <v>0.58242499999999997</v>
      </c>
      <c r="G41">
        <v>13.262728600000001</v>
      </c>
      <c r="H41">
        <v>-0.89175179999999998</v>
      </c>
      <c r="I41">
        <v>12.633181799999999</v>
      </c>
      <c r="J41">
        <v>-0.54055489999999995</v>
      </c>
    </row>
    <row r="42" spans="1:10">
      <c r="A42">
        <v>3</v>
      </c>
      <c r="B42">
        <v>8</v>
      </c>
      <c r="C42">
        <v>669331</v>
      </c>
      <c r="D42">
        <v>0.448023</v>
      </c>
      <c r="E42">
        <v>356073</v>
      </c>
      <c r="F42">
        <v>0.57397200000000004</v>
      </c>
      <c r="G42">
        <v>13.414033999999999</v>
      </c>
      <c r="H42">
        <v>-0.80291069999999998</v>
      </c>
      <c r="I42">
        <v>12.782890999999999</v>
      </c>
      <c r="J42">
        <v>-0.55517470000000002</v>
      </c>
    </row>
    <row r="43" spans="1:10">
      <c r="A43">
        <v>3</v>
      </c>
      <c r="B43">
        <v>9</v>
      </c>
      <c r="C43">
        <v>783799</v>
      </c>
      <c r="D43">
        <v>0.53959500000000005</v>
      </c>
      <c r="E43">
        <v>378311</v>
      </c>
      <c r="F43">
        <v>0.65425599999999995</v>
      </c>
      <c r="G43">
        <v>13.571907899999999</v>
      </c>
      <c r="H43">
        <v>-0.61693640000000005</v>
      </c>
      <c r="I43">
        <v>12.843471900000001</v>
      </c>
      <c r="J43">
        <v>-0.42425659999999998</v>
      </c>
    </row>
    <row r="44" spans="1:10">
      <c r="A44">
        <v>3</v>
      </c>
      <c r="B44">
        <v>10</v>
      </c>
      <c r="C44">
        <v>913883</v>
      </c>
      <c r="D44">
        <v>0.53938200000000003</v>
      </c>
      <c r="E44">
        <v>555267</v>
      </c>
      <c r="F44">
        <v>0.63105500000000003</v>
      </c>
      <c r="G44">
        <v>13.725457799999999</v>
      </c>
      <c r="H44">
        <v>-0.61733119999999997</v>
      </c>
      <c r="I44">
        <v>13.2272044</v>
      </c>
      <c r="J44">
        <v>-0.4603623</v>
      </c>
    </row>
    <row r="45" spans="1:10">
      <c r="A45">
        <v>3</v>
      </c>
      <c r="B45">
        <v>11</v>
      </c>
      <c r="C45">
        <v>1041520</v>
      </c>
      <c r="D45">
        <v>0.46796700000000002</v>
      </c>
      <c r="E45">
        <v>850322</v>
      </c>
      <c r="F45">
        <v>0.56923999999999997</v>
      </c>
      <c r="G45">
        <v>13.8561917</v>
      </c>
      <c r="H45">
        <v>-0.75935750000000002</v>
      </c>
      <c r="I45">
        <v>13.6533704</v>
      </c>
      <c r="J45">
        <v>-0.56345310000000004</v>
      </c>
    </row>
    <row r="46" spans="1:10">
      <c r="A46">
        <v>3</v>
      </c>
      <c r="B46">
        <v>12</v>
      </c>
      <c r="C46">
        <v>1125800</v>
      </c>
      <c r="D46">
        <v>0.450544</v>
      </c>
      <c r="E46">
        <v>1015610</v>
      </c>
      <c r="F46">
        <v>0.58968200000000004</v>
      </c>
      <c r="G46">
        <v>13.9340045</v>
      </c>
      <c r="H46">
        <v>-0.79729950000000005</v>
      </c>
      <c r="I46">
        <v>13.831</v>
      </c>
      <c r="J46">
        <v>-0.52817190000000003</v>
      </c>
    </row>
    <row r="47" spans="1:10">
      <c r="A47">
        <v>3</v>
      </c>
      <c r="B47">
        <v>13</v>
      </c>
      <c r="C47">
        <v>1096070</v>
      </c>
      <c r="D47">
        <v>0.46879300000000002</v>
      </c>
      <c r="E47">
        <v>954508</v>
      </c>
      <c r="F47">
        <v>0.58795299999999995</v>
      </c>
      <c r="G47">
        <v>13.907241600000001</v>
      </c>
      <c r="H47">
        <v>-0.75759399999999999</v>
      </c>
      <c r="I47">
        <v>13.768951299999999</v>
      </c>
      <c r="J47">
        <v>-0.53110829999999998</v>
      </c>
    </row>
    <row r="48" spans="1:10">
      <c r="A48">
        <v>3</v>
      </c>
      <c r="B48">
        <v>14</v>
      </c>
      <c r="C48">
        <v>1198930</v>
      </c>
      <c r="D48">
        <v>0.49439699999999998</v>
      </c>
      <c r="E48">
        <v>886999</v>
      </c>
      <c r="F48">
        <v>0.565388</v>
      </c>
      <c r="G48">
        <v>13.9969401</v>
      </c>
      <c r="H48">
        <v>-0.70441640000000005</v>
      </c>
      <c r="I48">
        <v>13.695599100000001</v>
      </c>
      <c r="J48">
        <v>-0.5702431</v>
      </c>
    </row>
    <row r="49" spans="1:10">
      <c r="A49">
        <v>3</v>
      </c>
      <c r="B49">
        <v>15</v>
      </c>
      <c r="C49">
        <v>1170470</v>
      </c>
      <c r="D49">
        <v>0.49331700000000001</v>
      </c>
      <c r="E49">
        <v>844079</v>
      </c>
      <c r="F49">
        <v>0.57707799999999998</v>
      </c>
      <c r="G49">
        <v>13.9729159</v>
      </c>
      <c r="H49">
        <v>-0.70660330000000005</v>
      </c>
      <c r="I49">
        <v>13.646001399999999</v>
      </c>
      <c r="J49">
        <v>-0.54977779999999998</v>
      </c>
    </row>
    <row r="50" spans="1:10">
      <c r="A50">
        <v>4</v>
      </c>
      <c r="B50">
        <v>1</v>
      </c>
      <c r="C50">
        <v>145167</v>
      </c>
      <c r="D50">
        <v>8.6392999999999998E-2</v>
      </c>
      <c r="E50">
        <v>114987</v>
      </c>
      <c r="F50">
        <v>0.43206600000000001</v>
      </c>
      <c r="G50">
        <v>11.8856401</v>
      </c>
      <c r="H50">
        <v>-2.4488485999999998</v>
      </c>
      <c r="I50">
        <v>11.652574400000001</v>
      </c>
      <c r="J50">
        <v>-0.8391769</v>
      </c>
    </row>
    <row r="51" spans="1:10">
      <c r="A51">
        <v>4</v>
      </c>
      <c r="B51">
        <v>2</v>
      </c>
      <c r="C51">
        <v>170192</v>
      </c>
      <c r="D51">
        <v>9.6740000000000007E-2</v>
      </c>
      <c r="E51">
        <v>120501</v>
      </c>
      <c r="F51">
        <v>0.43966899999999998</v>
      </c>
      <c r="G51">
        <v>12.0446825</v>
      </c>
      <c r="H51">
        <v>-2.3357283</v>
      </c>
      <c r="I51">
        <v>11.6994133</v>
      </c>
      <c r="J51">
        <v>-0.82173309999999999</v>
      </c>
    </row>
    <row r="52" spans="1:10">
      <c r="A52">
        <v>4</v>
      </c>
      <c r="B52">
        <v>3</v>
      </c>
      <c r="C52">
        <v>247506</v>
      </c>
      <c r="D52">
        <v>0.14149999999999999</v>
      </c>
      <c r="E52">
        <v>121908</v>
      </c>
      <c r="F52">
        <v>0.48893199999999998</v>
      </c>
      <c r="G52">
        <v>12.4191901</v>
      </c>
      <c r="H52">
        <v>-1.9554556000000001</v>
      </c>
      <c r="I52">
        <v>11.7110219</v>
      </c>
      <c r="J52">
        <v>-0.7155319</v>
      </c>
    </row>
    <row r="53" spans="1:10">
      <c r="A53">
        <v>4</v>
      </c>
      <c r="B53">
        <v>4</v>
      </c>
      <c r="C53">
        <v>309391</v>
      </c>
      <c r="D53">
        <v>0.169715</v>
      </c>
      <c r="E53">
        <v>127220</v>
      </c>
      <c r="F53">
        <v>0.48418099999999997</v>
      </c>
      <c r="G53">
        <v>12.6423611</v>
      </c>
      <c r="H53">
        <v>-1.7736346999999999</v>
      </c>
      <c r="I53">
        <v>11.7536732</v>
      </c>
      <c r="J53">
        <v>-0.72529650000000001</v>
      </c>
    </row>
    <row r="54" spans="1:10">
      <c r="A54">
        <v>4</v>
      </c>
      <c r="B54">
        <v>5</v>
      </c>
      <c r="C54">
        <v>354338</v>
      </c>
      <c r="D54">
        <v>0.17380499999999999</v>
      </c>
      <c r="E54">
        <v>209405</v>
      </c>
      <c r="F54">
        <v>0.52992499999999998</v>
      </c>
      <c r="G54">
        <v>12.7780065</v>
      </c>
      <c r="H54">
        <v>-1.7498213</v>
      </c>
      <c r="I54">
        <v>12.2520255</v>
      </c>
      <c r="J54">
        <v>-0.63501980000000002</v>
      </c>
    </row>
    <row r="55" spans="1:10">
      <c r="A55">
        <v>4</v>
      </c>
      <c r="B55">
        <v>6</v>
      </c>
      <c r="C55">
        <v>373941</v>
      </c>
      <c r="D55">
        <v>0.164272</v>
      </c>
      <c r="E55">
        <v>263148</v>
      </c>
      <c r="F55">
        <v>0.53272299999999995</v>
      </c>
      <c r="G55">
        <v>12.831853300000001</v>
      </c>
      <c r="H55">
        <v>-1.8062317000000001</v>
      </c>
      <c r="I55">
        <v>12.4804719</v>
      </c>
      <c r="J55">
        <v>-0.62975369999999997</v>
      </c>
    </row>
    <row r="56" spans="1:10">
      <c r="A56">
        <v>4</v>
      </c>
      <c r="B56">
        <v>7</v>
      </c>
      <c r="C56">
        <v>420915</v>
      </c>
      <c r="D56">
        <v>0.170906</v>
      </c>
      <c r="E56">
        <v>316724</v>
      </c>
      <c r="F56">
        <v>0.54906699999999997</v>
      </c>
      <c r="G56">
        <v>12.950186199999999</v>
      </c>
      <c r="H56">
        <v>-1.7666416</v>
      </c>
      <c r="I56">
        <v>12.665786000000001</v>
      </c>
      <c r="J56">
        <v>-0.59953480000000003</v>
      </c>
    </row>
    <row r="57" spans="1:10">
      <c r="A57">
        <v>4</v>
      </c>
      <c r="B57">
        <v>8</v>
      </c>
      <c r="C57">
        <v>474017</v>
      </c>
      <c r="D57">
        <v>0.17784</v>
      </c>
      <c r="E57">
        <v>363598</v>
      </c>
      <c r="F57">
        <v>0.55713999999999997</v>
      </c>
      <c r="G57">
        <v>13.068998499999999</v>
      </c>
      <c r="H57">
        <v>-1.726871</v>
      </c>
      <c r="I57">
        <v>12.803804100000001</v>
      </c>
      <c r="J57">
        <v>-0.58493870000000003</v>
      </c>
    </row>
    <row r="58" spans="1:10">
      <c r="A58">
        <v>4</v>
      </c>
      <c r="B58">
        <v>9</v>
      </c>
      <c r="C58">
        <v>532590</v>
      </c>
      <c r="D58">
        <v>0.192248</v>
      </c>
      <c r="E58">
        <v>389436</v>
      </c>
      <c r="F58">
        <v>0.61137699999999995</v>
      </c>
      <c r="G58">
        <v>13.1855072</v>
      </c>
      <c r="H58">
        <v>-1.6489691</v>
      </c>
      <c r="I58">
        <v>12.8724548</v>
      </c>
      <c r="J58">
        <v>-0.49204150000000002</v>
      </c>
    </row>
    <row r="59" spans="1:10">
      <c r="A59">
        <v>4</v>
      </c>
      <c r="B59">
        <v>10</v>
      </c>
      <c r="C59">
        <v>676771</v>
      </c>
      <c r="D59">
        <v>0.24246899999999999</v>
      </c>
      <c r="E59">
        <v>547376</v>
      </c>
      <c r="F59">
        <v>0.64531899999999998</v>
      </c>
      <c r="G59">
        <v>13.425088199999999</v>
      </c>
      <c r="H59">
        <v>-1.4168814000000001</v>
      </c>
      <c r="I59">
        <v>13.2128912</v>
      </c>
      <c r="J59">
        <v>-0.43801050000000002</v>
      </c>
    </row>
    <row r="60" spans="1:10">
      <c r="A60">
        <v>4</v>
      </c>
      <c r="B60">
        <v>11</v>
      </c>
      <c r="C60">
        <v>880438</v>
      </c>
      <c r="D60">
        <v>0.25650499999999998</v>
      </c>
      <c r="E60">
        <v>850418</v>
      </c>
      <c r="F60">
        <v>0.611734</v>
      </c>
      <c r="G60">
        <v>13.688174800000001</v>
      </c>
      <c r="H60">
        <v>-1.3606071</v>
      </c>
      <c r="I60">
        <v>13.6534833</v>
      </c>
      <c r="J60">
        <v>-0.4914577</v>
      </c>
    </row>
    <row r="61" spans="1:10">
      <c r="A61">
        <v>4</v>
      </c>
      <c r="B61">
        <v>12</v>
      </c>
      <c r="C61">
        <v>1052020</v>
      </c>
      <c r="D61">
        <v>0.24965699999999999</v>
      </c>
      <c r="E61">
        <v>1011170</v>
      </c>
      <c r="F61">
        <v>0.58088399999999996</v>
      </c>
      <c r="G61">
        <v>13.8662227</v>
      </c>
      <c r="H61">
        <v>-1.3876672999999999</v>
      </c>
      <c r="I61">
        <v>13.8266186</v>
      </c>
      <c r="J61">
        <v>-0.54320420000000003</v>
      </c>
    </row>
    <row r="62" spans="1:10">
      <c r="A62">
        <v>4</v>
      </c>
      <c r="B62">
        <v>13</v>
      </c>
      <c r="C62">
        <v>1193680</v>
      </c>
      <c r="D62">
        <v>0.27392300000000003</v>
      </c>
      <c r="E62">
        <v>951934</v>
      </c>
      <c r="F62">
        <v>0.57204699999999997</v>
      </c>
      <c r="G62">
        <v>13.992551499999999</v>
      </c>
      <c r="H62">
        <v>-1.2949082000000001</v>
      </c>
      <c r="I62">
        <v>13.766251</v>
      </c>
      <c r="J62">
        <v>-0.55853410000000003</v>
      </c>
    </row>
    <row r="63" spans="1:10">
      <c r="A63">
        <v>4</v>
      </c>
      <c r="B63">
        <v>14</v>
      </c>
      <c r="C63">
        <v>1303390</v>
      </c>
      <c r="D63">
        <v>0.37113099999999999</v>
      </c>
      <c r="E63">
        <v>881323</v>
      </c>
      <c r="F63">
        <v>0.59457000000000004</v>
      </c>
      <c r="G63">
        <v>14.0804791</v>
      </c>
      <c r="H63">
        <v>-0.99120019999999998</v>
      </c>
      <c r="I63">
        <v>13.6891795</v>
      </c>
      <c r="J63">
        <v>-0.51991679999999996</v>
      </c>
    </row>
    <row r="64" spans="1:10">
      <c r="A64">
        <v>4</v>
      </c>
      <c r="B64">
        <v>15</v>
      </c>
      <c r="C64">
        <v>1436970</v>
      </c>
      <c r="D64">
        <v>0.42141099999999998</v>
      </c>
      <c r="E64">
        <v>831374</v>
      </c>
      <c r="F64">
        <v>0.58552499999999996</v>
      </c>
      <c r="G64">
        <v>14.178047299999999</v>
      </c>
      <c r="H64">
        <v>-0.86414670000000005</v>
      </c>
      <c r="I64">
        <v>13.630834999999999</v>
      </c>
      <c r="J64">
        <v>-0.53524640000000001</v>
      </c>
    </row>
    <row r="65" spans="1:10">
      <c r="A65">
        <v>5</v>
      </c>
      <c r="B65">
        <v>1</v>
      </c>
      <c r="C65">
        <v>91361</v>
      </c>
      <c r="D65">
        <v>5.1027999999999997E-2</v>
      </c>
      <c r="E65">
        <v>118222</v>
      </c>
      <c r="F65">
        <v>0.44287500000000002</v>
      </c>
      <c r="G65">
        <v>11.422573999999999</v>
      </c>
      <c r="H65">
        <v>-2.9753807999999999</v>
      </c>
      <c r="I65">
        <v>11.6803195</v>
      </c>
      <c r="J65">
        <v>-0.81446770000000002</v>
      </c>
    </row>
    <row r="66" spans="1:10">
      <c r="A66">
        <v>5</v>
      </c>
      <c r="B66">
        <v>2</v>
      </c>
      <c r="C66">
        <v>95428</v>
      </c>
      <c r="D66">
        <v>5.2645999999999998E-2</v>
      </c>
      <c r="E66">
        <v>116223</v>
      </c>
      <c r="F66">
        <v>0.46247300000000002</v>
      </c>
      <c r="G66">
        <v>11.4661273</v>
      </c>
      <c r="H66">
        <v>-2.9441649999999999</v>
      </c>
      <c r="I66">
        <v>11.663266</v>
      </c>
      <c r="J66">
        <v>-0.77116709999999999</v>
      </c>
    </row>
    <row r="67" spans="1:10">
      <c r="A67">
        <v>5</v>
      </c>
      <c r="B67">
        <v>3</v>
      </c>
      <c r="C67">
        <v>98187</v>
      </c>
      <c r="D67">
        <v>5.6348000000000002E-2</v>
      </c>
      <c r="E67">
        <v>115853</v>
      </c>
      <c r="F67">
        <v>0.51911799999999997</v>
      </c>
      <c r="G67">
        <v>11.494629099999999</v>
      </c>
      <c r="H67">
        <v>-2.8762085000000002</v>
      </c>
      <c r="I67">
        <v>11.6600774</v>
      </c>
      <c r="J67">
        <v>-0.65562410000000004</v>
      </c>
    </row>
    <row r="68" spans="1:10">
      <c r="A68">
        <v>5</v>
      </c>
      <c r="B68">
        <v>4</v>
      </c>
      <c r="C68">
        <v>115967</v>
      </c>
      <c r="D68">
        <v>6.6952999999999999E-2</v>
      </c>
      <c r="E68">
        <v>129372</v>
      </c>
      <c r="F68">
        <v>0.529331</v>
      </c>
      <c r="G68">
        <v>11.661060900000001</v>
      </c>
      <c r="H68">
        <v>-2.7037643999999998</v>
      </c>
      <c r="I68">
        <v>11.770447300000001</v>
      </c>
      <c r="J68">
        <v>-0.63614130000000002</v>
      </c>
    </row>
    <row r="69" spans="1:10">
      <c r="A69">
        <v>5</v>
      </c>
      <c r="B69">
        <v>5</v>
      </c>
      <c r="C69">
        <v>138382</v>
      </c>
      <c r="D69">
        <v>7.0307999999999995E-2</v>
      </c>
      <c r="E69">
        <v>243266</v>
      </c>
      <c r="F69">
        <v>0.55779699999999999</v>
      </c>
      <c r="G69">
        <v>11.8377733</v>
      </c>
      <c r="H69">
        <v>-2.6548696999999999</v>
      </c>
      <c r="I69">
        <v>12.4019108</v>
      </c>
      <c r="J69">
        <v>-0.58376019999999995</v>
      </c>
    </row>
    <row r="70" spans="1:10">
      <c r="A70">
        <v>5</v>
      </c>
      <c r="B70">
        <v>6</v>
      </c>
      <c r="C70">
        <v>156228</v>
      </c>
      <c r="D70">
        <v>7.3960999999999999E-2</v>
      </c>
      <c r="E70">
        <v>277930</v>
      </c>
      <c r="F70">
        <v>0.55618100000000004</v>
      </c>
      <c r="G70">
        <v>11.9590718</v>
      </c>
      <c r="H70">
        <v>-2.6042174</v>
      </c>
      <c r="I70">
        <v>12.5351246</v>
      </c>
      <c r="J70">
        <v>-0.58666149999999995</v>
      </c>
    </row>
    <row r="71" spans="1:10">
      <c r="A71">
        <v>5</v>
      </c>
      <c r="B71">
        <v>7</v>
      </c>
      <c r="C71">
        <v>183169</v>
      </c>
      <c r="D71">
        <v>8.4945999999999994E-2</v>
      </c>
      <c r="E71">
        <v>317273</v>
      </c>
      <c r="F71">
        <v>0.56932700000000003</v>
      </c>
      <c r="G71">
        <v>12.118164500000001</v>
      </c>
      <c r="H71">
        <v>-2.4657395000000002</v>
      </c>
      <c r="I71">
        <v>12.6675179</v>
      </c>
      <c r="J71">
        <v>-0.56330029999999998</v>
      </c>
    </row>
    <row r="72" spans="1:10">
      <c r="A72">
        <v>5</v>
      </c>
      <c r="B72">
        <v>8</v>
      </c>
      <c r="C72">
        <v>210212</v>
      </c>
      <c r="D72">
        <v>9.5474000000000003E-2</v>
      </c>
      <c r="E72">
        <v>358794</v>
      </c>
      <c r="F72">
        <v>0.58346500000000001</v>
      </c>
      <c r="G72">
        <v>12.2558718</v>
      </c>
      <c r="H72">
        <v>-2.3489013000000001</v>
      </c>
      <c r="I72">
        <v>12.7905037</v>
      </c>
      <c r="J72">
        <v>-0.53877079999999999</v>
      </c>
    </row>
    <row r="73" spans="1:10">
      <c r="A73">
        <v>5</v>
      </c>
      <c r="B73">
        <v>9</v>
      </c>
      <c r="C73">
        <v>274024</v>
      </c>
      <c r="D73">
        <v>0.119814</v>
      </c>
      <c r="E73">
        <v>397667</v>
      </c>
      <c r="F73">
        <v>0.63181799999999999</v>
      </c>
      <c r="G73">
        <v>12.520970999999999</v>
      </c>
      <c r="H73">
        <v>-2.1218146999999998</v>
      </c>
      <c r="I73">
        <v>12.893370300000001</v>
      </c>
      <c r="J73">
        <v>-0.4591539</v>
      </c>
    </row>
    <row r="74" spans="1:10">
      <c r="A74">
        <v>5</v>
      </c>
      <c r="B74">
        <v>10</v>
      </c>
      <c r="C74">
        <v>356915</v>
      </c>
      <c r="D74">
        <v>0.15004600000000001</v>
      </c>
      <c r="E74">
        <v>566672</v>
      </c>
      <c r="F74">
        <v>0.60472300000000001</v>
      </c>
      <c r="G74">
        <v>12.7852529</v>
      </c>
      <c r="H74">
        <v>-1.8968134000000001</v>
      </c>
      <c r="I74">
        <v>13.247535900000001</v>
      </c>
      <c r="J74">
        <v>-0.50298480000000001</v>
      </c>
    </row>
    <row r="75" spans="1:10">
      <c r="A75">
        <v>5</v>
      </c>
      <c r="B75">
        <v>11</v>
      </c>
      <c r="C75">
        <v>432344</v>
      </c>
      <c r="D75">
        <v>0.144014</v>
      </c>
      <c r="E75">
        <v>848393</v>
      </c>
      <c r="F75">
        <v>0.58792100000000003</v>
      </c>
      <c r="G75">
        <v>12.976976799999999</v>
      </c>
      <c r="H75">
        <v>-1.9378447999999999</v>
      </c>
      <c r="I75">
        <v>13.6510993</v>
      </c>
      <c r="J75">
        <v>-0.53116269999999999</v>
      </c>
    </row>
    <row r="76" spans="1:10">
      <c r="A76">
        <v>5</v>
      </c>
      <c r="B76">
        <v>12</v>
      </c>
      <c r="C76">
        <v>524294</v>
      </c>
      <c r="D76">
        <v>0.16930000000000001</v>
      </c>
      <c r="E76">
        <v>1005740</v>
      </c>
      <c r="F76">
        <v>0.61615900000000001</v>
      </c>
      <c r="G76">
        <v>13.1698079</v>
      </c>
      <c r="H76">
        <v>-1.7760830000000001</v>
      </c>
      <c r="I76">
        <v>13.8212341</v>
      </c>
      <c r="J76">
        <v>-0.48425020000000002</v>
      </c>
    </row>
    <row r="77" spans="1:10">
      <c r="A77">
        <v>5</v>
      </c>
      <c r="B77">
        <v>13</v>
      </c>
      <c r="C77">
        <v>530924</v>
      </c>
      <c r="D77">
        <v>0.172761</v>
      </c>
      <c r="E77">
        <v>958231</v>
      </c>
      <c r="F77">
        <v>0.60586799999999996</v>
      </c>
      <c r="G77">
        <v>13.1823742</v>
      </c>
      <c r="H77">
        <v>-1.7558461000000001</v>
      </c>
      <c r="I77">
        <v>13.7728442</v>
      </c>
      <c r="J77">
        <v>-0.50109309999999996</v>
      </c>
    </row>
    <row r="78" spans="1:10">
      <c r="A78">
        <v>5</v>
      </c>
      <c r="B78">
        <v>14</v>
      </c>
      <c r="C78">
        <v>581447</v>
      </c>
      <c r="D78">
        <v>0.18667</v>
      </c>
      <c r="E78">
        <v>872924</v>
      </c>
      <c r="F78">
        <v>0.59468799999999999</v>
      </c>
      <c r="G78">
        <v>13.273275099999999</v>
      </c>
      <c r="H78">
        <v>-1.6784129000000001</v>
      </c>
      <c r="I78">
        <v>13.679603800000001</v>
      </c>
      <c r="J78">
        <v>-0.51971840000000002</v>
      </c>
    </row>
    <row r="79" spans="1:10">
      <c r="A79">
        <v>5</v>
      </c>
      <c r="B79">
        <v>15</v>
      </c>
      <c r="C79">
        <v>610257</v>
      </c>
      <c r="D79">
        <v>0.213279</v>
      </c>
      <c r="E79">
        <v>844622</v>
      </c>
      <c r="F79">
        <v>0.63554500000000003</v>
      </c>
      <c r="G79">
        <v>13.321635499999999</v>
      </c>
      <c r="H79">
        <v>-1.5451541</v>
      </c>
      <c r="I79">
        <v>13.646644500000001</v>
      </c>
      <c r="J79">
        <v>-0.45327240000000002</v>
      </c>
    </row>
    <row r="80" spans="1:10">
      <c r="A80">
        <v>6</v>
      </c>
      <c r="B80">
        <v>1</v>
      </c>
      <c r="C80">
        <v>68978</v>
      </c>
      <c r="D80">
        <v>3.7682E-2</v>
      </c>
      <c r="E80">
        <v>117112</v>
      </c>
      <c r="F80">
        <v>0.44853900000000002</v>
      </c>
      <c r="G80">
        <v>11.141542899999999</v>
      </c>
      <c r="H80">
        <v>-3.2785728000000001</v>
      </c>
      <c r="I80">
        <v>11.670885999999999</v>
      </c>
      <c r="J80">
        <v>-0.80175960000000002</v>
      </c>
    </row>
    <row r="81" spans="1:10">
      <c r="A81">
        <v>6</v>
      </c>
      <c r="B81">
        <v>2</v>
      </c>
      <c r="C81">
        <v>74904</v>
      </c>
      <c r="D81">
        <v>3.9784E-2</v>
      </c>
      <c r="E81">
        <v>119420</v>
      </c>
      <c r="F81">
        <v>0.47588900000000001</v>
      </c>
      <c r="G81">
        <v>11.2239626</v>
      </c>
      <c r="H81">
        <v>-3.2242904999999999</v>
      </c>
      <c r="I81">
        <v>11.690402000000001</v>
      </c>
      <c r="J81">
        <v>-0.74257059999999997</v>
      </c>
    </row>
    <row r="82" spans="1:10">
      <c r="A82">
        <v>6</v>
      </c>
      <c r="B82">
        <v>3</v>
      </c>
      <c r="C82">
        <v>83829</v>
      </c>
      <c r="D82">
        <v>4.4331000000000002E-2</v>
      </c>
      <c r="E82">
        <v>116087</v>
      </c>
      <c r="F82">
        <v>0.50056199999999995</v>
      </c>
      <c r="G82">
        <v>11.3365343</v>
      </c>
      <c r="H82">
        <v>-3.1160711000000001</v>
      </c>
      <c r="I82">
        <v>11.6620952</v>
      </c>
      <c r="J82">
        <v>-0.69202379999999997</v>
      </c>
    </row>
    <row r="83" spans="1:10">
      <c r="A83">
        <v>6</v>
      </c>
      <c r="B83">
        <v>4</v>
      </c>
      <c r="C83">
        <v>98148</v>
      </c>
      <c r="D83">
        <v>5.0244999999999998E-2</v>
      </c>
      <c r="E83">
        <v>122997</v>
      </c>
      <c r="F83">
        <v>0.50034400000000001</v>
      </c>
      <c r="G83">
        <v>11.4942318</v>
      </c>
      <c r="H83">
        <v>-2.9908442000000002</v>
      </c>
      <c r="I83">
        <v>11.719915200000001</v>
      </c>
      <c r="J83">
        <v>-0.69245939999999995</v>
      </c>
    </row>
    <row r="84" spans="1:10">
      <c r="A84">
        <v>6</v>
      </c>
      <c r="B84">
        <v>5</v>
      </c>
      <c r="C84">
        <v>118449</v>
      </c>
      <c r="D84">
        <v>5.5045999999999998E-2</v>
      </c>
      <c r="E84">
        <v>194309</v>
      </c>
      <c r="F84">
        <v>0.52889699999999995</v>
      </c>
      <c r="G84">
        <v>11.682237799999999</v>
      </c>
      <c r="H84">
        <v>-2.8995861000000001</v>
      </c>
      <c r="I84">
        <v>12.177205000000001</v>
      </c>
      <c r="J84">
        <v>-0.63696160000000002</v>
      </c>
    </row>
    <row r="85" spans="1:10">
      <c r="A85">
        <v>6</v>
      </c>
      <c r="B85">
        <v>6</v>
      </c>
      <c r="C85">
        <v>133161</v>
      </c>
      <c r="D85">
        <v>5.2462000000000002E-2</v>
      </c>
      <c r="E85">
        <v>307923</v>
      </c>
      <c r="F85">
        <v>0.495361</v>
      </c>
      <c r="G85">
        <v>11.7993142</v>
      </c>
      <c r="H85">
        <v>-2.9476662</v>
      </c>
      <c r="I85">
        <v>12.637605000000001</v>
      </c>
      <c r="J85">
        <v>-0.70246850000000005</v>
      </c>
    </row>
    <row r="86" spans="1:10">
      <c r="A86">
        <v>6</v>
      </c>
      <c r="B86">
        <v>7</v>
      </c>
      <c r="C86">
        <v>145062</v>
      </c>
      <c r="D86">
        <v>5.6977E-2</v>
      </c>
      <c r="E86">
        <v>323595</v>
      </c>
      <c r="F86">
        <v>0.51034199999999996</v>
      </c>
      <c r="G86">
        <v>11.884916499999999</v>
      </c>
      <c r="H86">
        <v>-2.8651076</v>
      </c>
      <c r="I86">
        <v>12.687248</v>
      </c>
      <c r="J86">
        <v>-0.6726742</v>
      </c>
    </row>
    <row r="87" spans="1:10">
      <c r="A87">
        <v>6</v>
      </c>
      <c r="B87">
        <v>8</v>
      </c>
      <c r="C87">
        <v>170711</v>
      </c>
      <c r="D87">
        <v>6.1490000000000003E-2</v>
      </c>
      <c r="E87">
        <v>363081</v>
      </c>
      <c r="F87">
        <v>0.51829599999999998</v>
      </c>
      <c r="G87">
        <v>12.0477273</v>
      </c>
      <c r="H87">
        <v>-2.7888807</v>
      </c>
      <c r="I87">
        <v>12.802381199999999</v>
      </c>
      <c r="J87">
        <v>-0.65720880000000004</v>
      </c>
    </row>
    <row r="88" spans="1:10">
      <c r="A88">
        <v>6</v>
      </c>
      <c r="B88">
        <v>9</v>
      </c>
      <c r="C88">
        <v>199775</v>
      </c>
      <c r="D88">
        <v>6.9027000000000005E-2</v>
      </c>
      <c r="E88">
        <v>386422</v>
      </c>
      <c r="F88">
        <v>0.54672299999999996</v>
      </c>
      <c r="G88">
        <v>12.204947000000001</v>
      </c>
      <c r="H88">
        <v>-2.6732575000000001</v>
      </c>
      <c r="I88">
        <v>12.8646853</v>
      </c>
      <c r="J88">
        <v>-0.60381300000000004</v>
      </c>
    </row>
    <row r="89" spans="1:10">
      <c r="A89">
        <v>6</v>
      </c>
      <c r="B89">
        <v>10</v>
      </c>
      <c r="C89">
        <v>276797</v>
      </c>
      <c r="D89">
        <v>9.2748999999999998E-2</v>
      </c>
      <c r="E89">
        <v>564867</v>
      </c>
      <c r="F89">
        <v>0.55427599999999999</v>
      </c>
      <c r="G89">
        <v>12.531039699999999</v>
      </c>
      <c r="H89">
        <v>-2.3778584</v>
      </c>
      <c r="I89">
        <v>13.244345600000001</v>
      </c>
      <c r="J89">
        <v>-0.59009250000000002</v>
      </c>
    </row>
    <row r="90" spans="1:10">
      <c r="A90">
        <v>6</v>
      </c>
      <c r="B90">
        <v>11</v>
      </c>
      <c r="C90">
        <v>381478</v>
      </c>
      <c r="D90">
        <v>0.11264</v>
      </c>
      <c r="E90">
        <v>874818</v>
      </c>
      <c r="F90">
        <v>0.51776599999999995</v>
      </c>
      <c r="G90">
        <v>12.851808500000001</v>
      </c>
      <c r="H90">
        <v>-2.1835583999999999</v>
      </c>
      <c r="I90">
        <v>13.681771100000001</v>
      </c>
      <c r="J90">
        <v>-0.65823189999999998</v>
      </c>
    </row>
    <row r="91" spans="1:10">
      <c r="A91">
        <v>6</v>
      </c>
      <c r="B91">
        <v>12</v>
      </c>
      <c r="C91">
        <v>506969</v>
      </c>
      <c r="D91">
        <v>0.15415400000000001</v>
      </c>
      <c r="E91">
        <v>1013170</v>
      </c>
      <c r="F91">
        <v>0.58004900000000004</v>
      </c>
      <c r="G91">
        <v>13.1362051</v>
      </c>
      <c r="H91">
        <v>-1.8698032</v>
      </c>
      <c r="I91">
        <v>13.828594600000001</v>
      </c>
      <c r="J91">
        <v>-0.54464270000000004</v>
      </c>
    </row>
    <row r="92" spans="1:10">
      <c r="A92">
        <v>6</v>
      </c>
      <c r="B92">
        <v>13</v>
      </c>
      <c r="C92">
        <v>633388</v>
      </c>
      <c r="D92">
        <v>0.18646099999999999</v>
      </c>
      <c r="E92">
        <v>930477</v>
      </c>
      <c r="F92">
        <v>0.55602399999999996</v>
      </c>
      <c r="G92">
        <v>13.358838499999999</v>
      </c>
      <c r="H92">
        <v>-1.6795332000000001</v>
      </c>
      <c r="I92">
        <v>13.743452599999999</v>
      </c>
      <c r="J92">
        <v>-0.58694380000000002</v>
      </c>
    </row>
    <row r="93" spans="1:10">
      <c r="A93">
        <v>6</v>
      </c>
      <c r="B93">
        <v>14</v>
      </c>
      <c r="C93">
        <v>804388</v>
      </c>
      <c r="D93">
        <v>0.24684700000000001</v>
      </c>
      <c r="E93">
        <v>851676</v>
      </c>
      <c r="F93">
        <v>0.53779100000000002</v>
      </c>
      <c r="G93">
        <v>13.597837</v>
      </c>
      <c r="H93">
        <v>-1.3989866</v>
      </c>
      <c r="I93">
        <v>13.654961500000001</v>
      </c>
      <c r="J93">
        <v>-0.62028530000000004</v>
      </c>
    </row>
    <row r="94" spans="1:10">
      <c r="A94">
        <v>6</v>
      </c>
      <c r="B94">
        <v>15</v>
      </c>
      <c r="C94">
        <v>1009500</v>
      </c>
      <c r="D94">
        <v>0.30401299999999998</v>
      </c>
      <c r="E94">
        <v>819476</v>
      </c>
      <c r="F94">
        <v>0.52577499999999999</v>
      </c>
      <c r="G94">
        <v>13.8249657</v>
      </c>
      <c r="H94">
        <v>-1.1906848000000001</v>
      </c>
      <c r="I94">
        <v>13.616420400000001</v>
      </c>
      <c r="J94">
        <v>-0.64288190000000001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A3B6-FB6C-488E-9F59-909789ECE168}">
  <dimension ref="A1:G345"/>
  <sheetViews>
    <sheetView workbookViewId="0">
      <selection activeCell="G345" sqref="G345"/>
    </sheetView>
  </sheetViews>
  <sheetFormatPr defaultRowHeight="15"/>
  <sheetData>
    <row r="1" spans="1:7">
      <c r="A1" t="s">
        <v>966</v>
      </c>
    </row>
    <row r="3" spans="1:7">
      <c r="A3" t="s">
        <v>222</v>
      </c>
      <c r="B3" t="s">
        <v>967</v>
      </c>
      <c r="C3" t="s">
        <v>456</v>
      </c>
      <c r="D3" t="s">
        <v>968</v>
      </c>
      <c r="E3" t="s">
        <v>969</v>
      </c>
      <c r="F3" t="s">
        <v>970</v>
      </c>
      <c r="G3" t="s">
        <v>971</v>
      </c>
    </row>
    <row r="4" spans="1:7">
      <c r="A4" t="s">
        <v>972</v>
      </c>
      <c r="B4">
        <v>1</v>
      </c>
      <c r="C4">
        <v>1960</v>
      </c>
      <c r="D4">
        <v>4.1732441949999997</v>
      </c>
      <c r="E4">
        <v>-6.4742771790000004</v>
      </c>
      <c r="F4">
        <v>-0.33454761300000002</v>
      </c>
      <c r="G4">
        <v>-9.7668395690000001</v>
      </c>
    </row>
    <row r="5" spans="1:7">
      <c r="A5" t="s">
        <v>972</v>
      </c>
      <c r="B5">
        <v>1</v>
      </c>
      <c r="C5">
        <v>1961</v>
      </c>
      <c r="D5">
        <v>4.100989105</v>
      </c>
      <c r="E5">
        <v>-6.4260058349999998</v>
      </c>
      <c r="F5">
        <v>-0.35132761400000001</v>
      </c>
      <c r="G5">
        <v>-9.6086218450000001</v>
      </c>
    </row>
    <row r="6" spans="1:7">
      <c r="A6" t="s">
        <v>972</v>
      </c>
      <c r="B6">
        <v>1</v>
      </c>
      <c r="C6">
        <v>1962</v>
      </c>
      <c r="D6">
        <v>4.0731765510000004</v>
      </c>
      <c r="E6">
        <v>-6.407308295</v>
      </c>
      <c r="F6">
        <v>-0.37951769200000002</v>
      </c>
      <c r="G6">
        <v>-9.4572565520000005</v>
      </c>
    </row>
    <row r="7" spans="1:7">
      <c r="A7" t="s">
        <v>972</v>
      </c>
      <c r="B7">
        <v>1</v>
      </c>
      <c r="C7">
        <v>1963</v>
      </c>
      <c r="D7">
        <v>4.0595091239999999</v>
      </c>
      <c r="E7">
        <v>-6.370678539</v>
      </c>
      <c r="F7">
        <v>-0.414251392</v>
      </c>
      <c r="G7">
        <v>-9.3431549470000004</v>
      </c>
    </row>
    <row r="8" spans="1:7">
      <c r="A8" t="s">
        <v>972</v>
      </c>
      <c r="B8">
        <v>1</v>
      </c>
      <c r="C8">
        <v>1964</v>
      </c>
      <c r="D8">
        <v>4.0376887869999996</v>
      </c>
      <c r="E8">
        <v>-6.3222468049999998</v>
      </c>
      <c r="F8">
        <v>-0.44533536200000001</v>
      </c>
      <c r="G8">
        <v>-9.2377393459999997</v>
      </c>
    </row>
    <row r="9" spans="1:7">
      <c r="A9" t="s">
        <v>972</v>
      </c>
      <c r="B9">
        <v>1</v>
      </c>
      <c r="C9">
        <v>1965</v>
      </c>
      <c r="D9">
        <v>4.0339832849999997</v>
      </c>
      <c r="E9">
        <v>-6.2946679139999997</v>
      </c>
      <c r="F9">
        <v>-0.49706066199999999</v>
      </c>
      <c r="G9">
        <v>-9.1239034770000007</v>
      </c>
    </row>
    <row r="10" spans="1:7">
      <c r="A10" t="s">
        <v>972</v>
      </c>
      <c r="B10">
        <v>1</v>
      </c>
      <c r="C10">
        <v>1966</v>
      </c>
      <c r="D10">
        <v>4.0475365590000001</v>
      </c>
      <c r="E10">
        <v>-6.2525454509999996</v>
      </c>
      <c r="F10">
        <v>-0.46683773099999998</v>
      </c>
      <c r="G10">
        <v>-9.019822048</v>
      </c>
    </row>
    <row r="11" spans="1:7">
      <c r="A11" t="s">
        <v>972</v>
      </c>
      <c r="B11">
        <v>1</v>
      </c>
      <c r="C11">
        <v>1967</v>
      </c>
      <c r="D11">
        <v>4.0529106940000004</v>
      </c>
      <c r="E11">
        <v>-6.2345807090000003</v>
      </c>
      <c r="F11">
        <v>-0.50588340499999995</v>
      </c>
      <c r="G11">
        <v>-8.9344025370000004</v>
      </c>
    </row>
    <row r="12" spans="1:7">
      <c r="A12" t="s">
        <v>972</v>
      </c>
      <c r="B12">
        <v>1</v>
      </c>
      <c r="C12">
        <v>1968</v>
      </c>
      <c r="D12">
        <v>4.0455070480000002</v>
      </c>
      <c r="E12">
        <v>-6.2068944029999997</v>
      </c>
      <c r="F12">
        <v>-0.52241254500000001</v>
      </c>
      <c r="G12">
        <v>-8.8479674070000005</v>
      </c>
    </row>
    <row r="13" spans="1:7">
      <c r="A13" t="s">
        <v>972</v>
      </c>
      <c r="B13">
        <v>1</v>
      </c>
      <c r="C13">
        <v>1969</v>
      </c>
      <c r="D13">
        <v>4.0463547889999996</v>
      </c>
      <c r="E13">
        <v>-6.1531396679999997</v>
      </c>
      <c r="F13">
        <v>-0.559110514</v>
      </c>
      <c r="G13">
        <v>-8.7886862069999996</v>
      </c>
    </row>
    <row r="14" spans="1:7">
      <c r="A14" t="s">
        <v>972</v>
      </c>
      <c r="B14">
        <v>1</v>
      </c>
      <c r="C14">
        <v>1970</v>
      </c>
      <c r="D14">
        <v>4.0808876730000003</v>
      </c>
      <c r="E14">
        <v>-6.0817123850000003</v>
      </c>
      <c r="F14">
        <v>-0.59656121900000003</v>
      </c>
      <c r="G14">
        <v>-8.7281998959999996</v>
      </c>
    </row>
    <row r="15" spans="1:7">
      <c r="A15" t="s">
        <v>972</v>
      </c>
      <c r="B15">
        <v>1</v>
      </c>
      <c r="C15">
        <v>1971</v>
      </c>
      <c r="D15">
        <v>4.1067204940000002</v>
      </c>
      <c r="E15">
        <v>-6.0436258540000001</v>
      </c>
      <c r="F15">
        <v>-0.65445914299999997</v>
      </c>
      <c r="G15">
        <v>-8.6358982340000008</v>
      </c>
    </row>
    <row r="16" spans="1:7">
      <c r="A16" t="s">
        <v>972</v>
      </c>
      <c r="B16">
        <v>1</v>
      </c>
      <c r="C16">
        <v>1972</v>
      </c>
      <c r="D16">
        <v>4.1280177770000002</v>
      </c>
      <c r="E16">
        <v>-5.9810518669999997</v>
      </c>
      <c r="F16">
        <v>-0.59633184100000003</v>
      </c>
      <c r="G16">
        <v>-8.5383379210000001</v>
      </c>
    </row>
    <row r="17" spans="1:7">
      <c r="A17" t="s">
        <v>972</v>
      </c>
      <c r="B17">
        <v>1</v>
      </c>
      <c r="C17">
        <v>1973</v>
      </c>
      <c r="D17">
        <v>4.1993805609999999</v>
      </c>
      <c r="E17">
        <v>-5.895152832</v>
      </c>
      <c r="F17">
        <v>-0.59444681300000002</v>
      </c>
      <c r="G17">
        <v>-8.4872890989999998</v>
      </c>
    </row>
    <row r="18" spans="1:7">
      <c r="A18" t="s">
        <v>972</v>
      </c>
      <c r="B18">
        <v>1</v>
      </c>
      <c r="C18">
        <v>1974</v>
      </c>
      <c r="D18">
        <v>4.0184953720000003</v>
      </c>
      <c r="E18">
        <v>-5.8523812189999997</v>
      </c>
      <c r="F18">
        <v>-0.466026934</v>
      </c>
      <c r="G18">
        <v>-8.4304040610000008</v>
      </c>
    </row>
    <row r="19" spans="1:7">
      <c r="A19" t="s">
        <v>972</v>
      </c>
      <c r="B19">
        <v>1</v>
      </c>
      <c r="C19">
        <v>1975</v>
      </c>
      <c r="D19">
        <v>4.0290180749999998</v>
      </c>
      <c r="E19">
        <v>-5.8693633780000001</v>
      </c>
      <c r="F19">
        <v>-0.45414220500000002</v>
      </c>
      <c r="G19">
        <v>-8.3828147560000001</v>
      </c>
    </row>
    <row r="20" spans="1:7">
      <c r="A20" t="s">
        <v>972</v>
      </c>
      <c r="B20">
        <v>1</v>
      </c>
      <c r="C20">
        <v>1976</v>
      </c>
      <c r="D20">
        <v>3.9854117439999999</v>
      </c>
      <c r="E20">
        <v>-5.8117026989999996</v>
      </c>
      <c r="F20">
        <v>-0.50008372199999995</v>
      </c>
      <c r="G20">
        <v>-8.3222319139999996</v>
      </c>
    </row>
    <row r="21" spans="1:7">
      <c r="A21" t="s">
        <v>972</v>
      </c>
      <c r="B21">
        <v>1</v>
      </c>
      <c r="C21">
        <v>1977</v>
      </c>
      <c r="D21">
        <v>3.9316759430000001</v>
      </c>
      <c r="E21">
        <v>-5.8332878949999998</v>
      </c>
      <c r="F21">
        <v>-0.42191562599999999</v>
      </c>
      <c r="G21">
        <v>-8.2495631790000008</v>
      </c>
    </row>
    <row r="22" spans="1:7">
      <c r="A22" t="s">
        <v>972</v>
      </c>
      <c r="B22">
        <v>1</v>
      </c>
      <c r="C22">
        <v>1978</v>
      </c>
      <c r="D22">
        <v>3.9227495829999999</v>
      </c>
      <c r="E22">
        <v>-5.762023052</v>
      </c>
      <c r="F22">
        <v>-0.46960311900000001</v>
      </c>
      <c r="G22">
        <v>-8.2110409369999999</v>
      </c>
    </row>
    <row r="23" spans="1:7">
      <c r="A23" t="s">
        <v>973</v>
      </c>
      <c r="B23">
        <v>2</v>
      </c>
      <c r="C23">
        <v>1960</v>
      </c>
      <c r="D23">
        <v>4.1640159700000003</v>
      </c>
      <c r="E23">
        <v>-6.2150912470000002</v>
      </c>
      <c r="F23">
        <v>-0.16570961100000001</v>
      </c>
      <c r="G23">
        <v>-9.4055270249999996</v>
      </c>
    </row>
    <row r="24" spans="1:7">
      <c r="A24" t="s">
        <v>973</v>
      </c>
      <c r="B24">
        <v>2</v>
      </c>
      <c r="C24">
        <v>1961</v>
      </c>
      <c r="D24">
        <v>4.1243556410000002</v>
      </c>
      <c r="E24">
        <v>-6.1768429280000001</v>
      </c>
      <c r="F24">
        <v>-0.171730983</v>
      </c>
      <c r="G24">
        <v>-9.3031493269999999</v>
      </c>
    </row>
    <row r="25" spans="1:7">
      <c r="A25" t="s">
        <v>973</v>
      </c>
      <c r="B25">
        <v>2</v>
      </c>
      <c r="C25">
        <v>1962</v>
      </c>
      <c r="D25">
        <v>4.0759616919999999</v>
      </c>
      <c r="E25">
        <v>-6.1296380199999998</v>
      </c>
      <c r="F25">
        <v>-0.22229137700000001</v>
      </c>
      <c r="G25">
        <v>-9.2180699839999996</v>
      </c>
    </row>
    <row r="26" spans="1:7">
      <c r="A26" t="s">
        <v>973</v>
      </c>
      <c r="B26">
        <v>2</v>
      </c>
      <c r="C26">
        <v>1963</v>
      </c>
      <c r="D26">
        <v>4.001266072</v>
      </c>
      <c r="E26">
        <v>-6.0940187989999997</v>
      </c>
      <c r="F26">
        <v>-0.250462254</v>
      </c>
      <c r="G26">
        <v>-9.1149323399999993</v>
      </c>
    </row>
    <row r="27" spans="1:7">
      <c r="A27" t="s">
        <v>973</v>
      </c>
      <c r="B27">
        <v>2</v>
      </c>
      <c r="C27">
        <v>1964</v>
      </c>
      <c r="D27">
        <v>3.9943754139999998</v>
      </c>
      <c r="E27">
        <v>-6.0364611679999998</v>
      </c>
      <c r="F27">
        <v>-0.27591056600000002</v>
      </c>
      <c r="G27">
        <v>-9.0054906700000004</v>
      </c>
    </row>
    <row r="28" spans="1:7">
      <c r="A28" t="s">
        <v>973</v>
      </c>
      <c r="B28">
        <v>2</v>
      </c>
      <c r="C28">
        <v>1965</v>
      </c>
      <c r="D28">
        <v>3.9515307040000001</v>
      </c>
      <c r="E28">
        <v>-6.0072518400000003</v>
      </c>
      <c r="F28">
        <v>-0.34493695200000002</v>
      </c>
      <c r="G28">
        <v>-8.8625807919999993</v>
      </c>
    </row>
    <row r="29" spans="1:7">
      <c r="A29" t="s">
        <v>973</v>
      </c>
      <c r="B29">
        <v>2</v>
      </c>
      <c r="C29">
        <v>1966</v>
      </c>
      <c r="D29">
        <v>3.8205378360000002</v>
      </c>
      <c r="E29">
        <v>-5.9941084279999997</v>
      </c>
      <c r="F29">
        <v>-0.23639769899999999</v>
      </c>
      <c r="G29">
        <v>-8.7545269999999995</v>
      </c>
    </row>
    <row r="30" spans="1:7">
      <c r="A30" t="s">
        <v>973</v>
      </c>
      <c r="B30">
        <v>2</v>
      </c>
      <c r="C30">
        <v>1967</v>
      </c>
      <c r="D30">
        <v>3.9068782149999999</v>
      </c>
      <c r="E30">
        <v>-5.964811815</v>
      </c>
      <c r="F30">
        <v>-0.26699498599999999</v>
      </c>
      <c r="G30">
        <v>-8.7488269150000004</v>
      </c>
    </row>
    <row r="31" spans="1:7">
      <c r="A31" t="s">
        <v>973</v>
      </c>
      <c r="B31">
        <v>2</v>
      </c>
      <c r="C31">
        <v>1968</v>
      </c>
      <c r="D31">
        <v>3.8286653780000002</v>
      </c>
      <c r="E31">
        <v>-5.9246929589999997</v>
      </c>
      <c r="F31">
        <v>-0.31116075500000001</v>
      </c>
      <c r="G31">
        <v>-8.5765126560000002</v>
      </c>
    </row>
    <row r="32" spans="1:7">
      <c r="A32" t="s">
        <v>973</v>
      </c>
      <c r="B32">
        <v>2</v>
      </c>
      <c r="C32">
        <v>1969</v>
      </c>
      <c r="D32">
        <v>3.8546012140000001</v>
      </c>
      <c r="E32">
        <v>-5.8575319490000002</v>
      </c>
      <c r="F32">
        <v>-0.35480852099999999</v>
      </c>
      <c r="G32">
        <v>-8.5214527170000007</v>
      </c>
    </row>
    <row r="33" spans="1:7">
      <c r="A33" t="s">
        <v>973</v>
      </c>
      <c r="B33">
        <v>2</v>
      </c>
      <c r="C33">
        <v>1970</v>
      </c>
      <c r="D33">
        <v>3.8703916220000001</v>
      </c>
      <c r="E33">
        <v>-5.7972005969999998</v>
      </c>
      <c r="F33">
        <v>-0.37794043500000002</v>
      </c>
      <c r="G33">
        <v>-8.4530429439999999</v>
      </c>
    </row>
    <row r="34" spans="1:7">
      <c r="A34" t="s">
        <v>973</v>
      </c>
      <c r="B34">
        <v>2</v>
      </c>
      <c r="C34">
        <v>1971</v>
      </c>
      <c r="D34">
        <v>3.8722450340000001</v>
      </c>
      <c r="E34">
        <v>-5.7610498239999997</v>
      </c>
      <c r="F34">
        <v>-0.39922991600000002</v>
      </c>
      <c r="G34">
        <v>-8.4094570100000006</v>
      </c>
    </row>
    <row r="35" spans="1:7">
      <c r="A35" t="s">
        <v>973</v>
      </c>
      <c r="B35">
        <v>2</v>
      </c>
      <c r="C35">
        <v>1972</v>
      </c>
      <c r="D35">
        <v>3.9054019260000001</v>
      </c>
      <c r="E35">
        <v>-5.7102303919999997</v>
      </c>
      <c r="F35">
        <v>-0.31064583699999998</v>
      </c>
      <c r="G35">
        <v>-8.3625877959999997</v>
      </c>
    </row>
    <row r="36" spans="1:7">
      <c r="A36" t="s">
        <v>973</v>
      </c>
      <c r="B36">
        <v>2</v>
      </c>
      <c r="C36">
        <v>1973</v>
      </c>
      <c r="D36">
        <v>3.89599567</v>
      </c>
      <c r="E36">
        <v>-5.6441445010000004</v>
      </c>
      <c r="F36">
        <v>-0.37309192000000002</v>
      </c>
      <c r="G36">
        <v>-8.3144468889999992</v>
      </c>
    </row>
    <row r="37" spans="1:7">
      <c r="A37" t="s">
        <v>973</v>
      </c>
      <c r="B37">
        <v>2</v>
      </c>
      <c r="C37">
        <v>1974</v>
      </c>
      <c r="D37">
        <v>3.8182304579999999</v>
      </c>
      <c r="E37">
        <v>-5.6007273590000004</v>
      </c>
      <c r="F37">
        <v>-0.36223563199999997</v>
      </c>
      <c r="G37">
        <v>-8.2705952689999993</v>
      </c>
    </row>
    <row r="38" spans="1:7">
      <c r="A38" t="s">
        <v>973</v>
      </c>
      <c r="B38">
        <v>2</v>
      </c>
      <c r="C38">
        <v>1975</v>
      </c>
      <c r="D38">
        <v>3.8777784139999998</v>
      </c>
      <c r="E38">
        <v>-5.6230029989999997</v>
      </c>
      <c r="F38">
        <v>-0.36430848300000002</v>
      </c>
      <c r="G38">
        <v>-8.2288478030000007</v>
      </c>
    </row>
    <row r="39" spans="1:7">
      <c r="A39" t="s">
        <v>973</v>
      </c>
      <c r="B39">
        <v>2</v>
      </c>
      <c r="C39">
        <v>1976</v>
      </c>
      <c r="D39">
        <v>3.8641454999999998</v>
      </c>
      <c r="E39">
        <v>-5.5671927529999996</v>
      </c>
      <c r="F39">
        <v>-0.37896584</v>
      </c>
      <c r="G39">
        <v>-8.1841336790000003</v>
      </c>
    </row>
    <row r="40" spans="1:7">
      <c r="A40" t="s">
        <v>973</v>
      </c>
      <c r="B40">
        <v>2</v>
      </c>
      <c r="C40">
        <v>1977</v>
      </c>
      <c r="D40">
        <v>3.8543112389999998</v>
      </c>
      <c r="E40">
        <v>-5.5566966369999999</v>
      </c>
      <c r="F40">
        <v>-0.43164132900000002</v>
      </c>
      <c r="G40">
        <v>-8.1385338120000004</v>
      </c>
    </row>
    <row r="41" spans="1:7">
      <c r="A41" t="s">
        <v>973</v>
      </c>
      <c r="B41">
        <v>2</v>
      </c>
      <c r="C41">
        <v>1978</v>
      </c>
      <c r="D41">
        <v>3.8427417830000001</v>
      </c>
      <c r="E41">
        <v>-5.5329398029999997</v>
      </c>
      <c r="F41">
        <v>-0.59094963700000003</v>
      </c>
      <c r="G41">
        <v>-8.1047410670000009</v>
      </c>
    </row>
    <row r="42" spans="1:7">
      <c r="A42" t="s">
        <v>974</v>
      </c>
      <c r="B42">
        <v>3</v>
      </c>
      <c r="C42">
        <v>1960</v>
      </c>
      <c r="D42">
        <v>4.855238441</v>
      </c>
      <c r="E42">
        <v>-5.8897134729999996</v>
      </c>
      <c r="F42">
        <v>-0.97210649900000001</v>
      </c>
      <c r="G42">
        <v>-8.3789165000000008</v>
      </c>
    </row>
    <row r="43" spans="1:7">
      <c r="A43" t="s">
        <v>974</v>
      </c>
      <c r="B43">
        <v>3</v>
      </c>
      <c r="C43">
        <v>1961</v>
      </c>
      <c r="D43">
        <v>4.8265553729999997</v>
      </c>
      <c r="E43">
        <v>-5.8843436179999999</v>
      </c>
      <c r="F43">
        <v>-0.97229024399999997</v>
      </c>
      <c r="G43">
        <v>-8.3467289359999999</v>
      </c>
    </row>
    <row r="44" spans="1:7">
      <c r="A44" t="s">
        <v>974</v>
      </c>
      <c r="B44">
        <v>3</v>
      </c>
      <c r="C44">
        <v>1962</v>
      </c>
      <c r="D44">
        <v>4.8505325089999998</v>
      </c>
      <c r="E44">
        <v>-5.8445523030000004</v>
      </c>
      <c r="F44">
        <v>-0.97860756400000004</v>
      </c>
      <c r="G44">
        <v>-8.3205116839999995</v>
      </c>
    </row>
    <row r="45" spans="1:7">
      <c r="A45" t="s">
        <v>974</v>
      </c>
      <c r="B45">
        <v>3</v>
      </c>
      <c r="C45">
        <v>1963</v>
      </c>
      <c r="D45">
        <v>4.8380800490000002</v>
      </c>
      <c r="E45">
        <v>-5.792351665</v>
      </c>
      <c r="F45">
        <v>-1.0190479139999999</v>
      </c>
      <c r="G45">
        <v>-8.2694222790000005</v>
      </c>
    </row>
    <row r="46" spans="1:7">
      <c r="A46" t="s">
        <v>974</v>
      </c>
      <c r="B46">
        <v>3</v>
      </c>
      <c r="C46">
        <v>1964</v>
      </c>
      <c r="D46">
        <v>4.8397604779999996</v>
      </c>
      <c r="E46">
        <v>-5.760063369</v>
      </c>
      <c r="F46">
        <v>-1.0028569629999999</v>
      </c>
      <c r="G46">
        <v>-8.2524043939999991</v>
      </c>
    </row>
    <row r="47" spans="1:7">
      <c r="A47" t="s">
        <v>974</v>
      </c>
      <c r="B47">
        <v>3</v>
      </c>
      <c r="C47">
        <v>1965</v>
      </c>
      <c r="D47">
        <v>4.8508278459999996</v>
      </c>
      <c r="E47">
        <v>-5.7228215520000001</v>
      </c>
      <c r="F47">
        <v>-1.0171254860000001</v>
      </c>
      <c r="G47">
        <v>-8.2236214850000007</v>
      </c>
    </row>
    <row r="48" spans="1:7">
      <c r="A48" t="s">
        <v>974</v>
      </c>
      <c r="B48">
        <v>3</v>
      </c>
      <c r="C48">
        <v>1966</v>
      </c>
      <c r="D48">
        <v>4.8710248549999999</v>
      </c>
      <c r="E48">
        <v>-5.6717840270000002</v>
      </c>
      <c r="F48">
        <v>-1.016944359</v>
      </c>
      <c r="G48">
        <v>-8.2012363399999995</v>
      </c>
    </row>
    <row r="49" spans="1:7">
      <c r="A49" t="s">
        <v>974</v>
      </c>
      <c r="B49">
        <v>3</v>
      </c>
      <c r="C49">
        <v>1967</v>
      </c>
      <c r="D49">
        <v>4.8524989569999999</v>
      </c>
      <c r="E49">
        <v>-5.6084811319999996</v>
      </c>
      <c r="F49">
        <v>-1.023597133</v>
      </c>
      <c r="G49">
        <v>-8.1560760739999996</v>
      </c>
    </row>
    <row r="50" spans="1:7">
      <c r="A50" t="s">
        <v>974</v>
      </c>
      <c r="B50">
        <v>3</v>
      </c>
      <c r="C50">
        <v>1968</v>
      </c>
      <c r="D50">
        <v>4.8687824229999999</v>
      </c>
      <c r="E50">
        <v>-5.573924431</v>
      </c>
      <c r="F50">
        <v>-1.019845238</v>
      </c>
      <c r="G50">
        <v>-8.1231881389999998</v>
      </c>
    </row>
    <row r="51" spans="1:7">
      <c r="A51" t="s">
        <v>974</v>
      </c>
      <c r="B51">
        <v>3</v>
      </c>
      <c r="C51">
        <v>1969</v>
      </c>
      <c r="D51">
        <v>4.8644326329999998</v>
      </c>
      <c r="E51">
        <v>-5.5608526700000001</v>
      </c>
      <c r="F51">
        <v>-1.0368638910000001</v>
      </c>
      <c r="G51">
        <v>-8.0951132809999997</v>
      </c>
    </row>
    <row r="52" spans="1:7">
      <c r="A52" t="s">
        <v>974</v>
      </c>
      <c r="B52">
        <v>3</v>
      </c>
      <c r="C52">
        <v>1970</v>
      </c>
      <c r="D52">
        <v>4.8995700250000001</v>
      </c>
      <c r="E52">
        <v>-5.5147628119999998</v>
      </c>
      <c r="F52">
        <v>-1.067333082</v>
      </c>
      <c r="G52">
        <v>-8.0800282449999994</v>
      </c>
    </row>
    <row r="53" spans="1:7">
      <c r="A53" t="s">
        <v>974</v>
      </c>
      <c r="B53">
        <v>3</v>
      </c>
      <c r="C53">
        <v>1971</v>
      </c>
      <c r="D53">
        <v>4.8950745610000004</v>
      </c>
      <c r="E53">
        <v>-5.4799192400000001</v>
      </c>
      <c r="F53">
        <v>-1.0580367550000001</v>
      </c>
      <c r="G53">
        <v>-8.0392638779999999</v>
      </c>
    </row>
    <row r="54" spans="1:7">
      <c r="A54" t="s">
        <v>974</v>
      </c>
      <c r="B54">
        <v>3</v>
      </c>
      <c r="C54">
        <v>1972</v>
      </c>
      <c r="D54">
        <v>4.8893020189999996</v>
      </c>
      <c r="E54">
        <v>-5.4366026229999997</v>
      </c>
      <c r="F54">
        <v>-1.0996670319999999</v>
      </c>
      <c r="G54">
        <v>-7.9895307009999996</v>
      </c>
    </row>
    <row r="55" spans="1:7">
      <c r="A55" t="s">
        <v>974</v>
      </c>
      <c r="B55">
        <v>3</v>
      </c>
      <c r="C55">
        <v>1973</v>
      </c>
      <c r="D55">
        <v>4.8996937899999997</v>
      </c>
      <c r="E55">
        <v>-5.414753492</v>
      </c>
      <c r="F55">
        <v>-1.1331614249999999</v>
      </c>
      <c r="G55">
        <v>-7.9421397589999998</v>
      </c>
    </row>
    <row r="56" spans="1:7">
      <c r="A56" t="s">
        <v>974</v>
      </c>
      <c r="B56">
        <v>3</v>
      </c>
      <c r="C56">
        <v>1974</v>
      </c>
      <c r="D56">
        <v>4.891590656</v>
      </c>
      <c r="E56">
        <v>-5.4184561179999999</v>
      </c>
      <c r="F56">
        <v>-1.123799966</v>
      </c>
      <c r="G56">
        <v>-7.9007579730000002</v>
      </c>
    </row>
    <row r="57" spans="1:7">
      <c r="A57" t="s">
        <v>974</v>
      </c>
      <c r="B57">
        <v>3</v>
      </c>
      <c r="C57">
        <v>1975</v>
      </c>
      <c r="D57">
        <v>4.888471343</v>
      </c>
      <c r="E57">
        <v>-5.3790973170000003</v>
      </c>
      <c r="F57">
        <v>-1.185684272</v>
      </c>
      <c r="G57">
        <v>-7.8733126349999996</v>
      </c>
    </row>
    <row r="58" spans="1:7">
      <c r="A58" t="s">
        <v>974</v>
      </c>
      <c r="B58">
        <v>3</v>
      </c>
      <c r="C58">
        <v>1976</v>
      </c>
      <c r="D58">
        <v>4.8373587579999997</v>
      </c>
      <c r="E58">
        <v>-5.3612851299999997</v>
      </c>
      <c r="F58">
        <v>-1.0617965890000001</v>
      </c>
      <c r="G58">
        <v>-7.8084249010000004</v>
      </c>
    </row>
    <row r="59" spans="1:7">
      <c r="A59" t="s">
        <v>974</v>
      </c>
      <c r="B59">
        <v>3</v>
      </c>
      <c r="C59">
        <v>1977</v>
      </c>
      <c r="D59">
        <v>4.8109915189999999</v>
      </c>
      <c r="E59">
        <v>-5.3369667420000004</v>
      </c>
      <c r="F59">
        <v>-1.070844484</v>
      </c>
      <c r="G59">
        <v>-7.7687925699999996</v>
      </c>
    </row>
    <row r="60" spans="1:7">
      <c r="A60" t="s">
        <v>974</v>
      </c>
      <c r="B60">
        <v>3</v>
      </c>
      <c r="C60">
        <v>1978</v>
      </c>
      <c r="D60">
        <v>4.8558458409999998</v>
      </c>
      <c r="E60">
        <v>-5.3112719200000003</v>
      </c>
      <c r="F60">
        <v>-1.0749507279999999</v>
      </c>
      <c r="G60">
        <v>-7.7880614350000004</v>
      </c>
    </row>
    <row r="61" spans="1:7">
      <c r="A61" t="s">
        <v>975</v>
      </c>
      <c r="B61">
        <v>4</v>
      </c>
      <c r="C61">
        <v>1960</v>
      </c>
      <c r="D61">
        <v>4.5019859499999999</v>
      </c>
      <c r="E61">
        <v>-6.0617255959999996</v>
      </c>
      <c r="F61">
        <v>-0.195702601</v>
      </c>
      <c r="G61">
        <v>-9.3261606980000007</v>
      </c>
    </row>
    <row r="62" spans="1:7">
      <c r="A62" t="s">
        <v>975</v>
      </c>
      <c r="B62">
        <v>4</v>
      </c>
      <c r="C62">
        <v>1961</v>
      </c>
      <c r="D62">
        <v>4.4828459379999996</v>
      </c>
      <c r="E62">
        <v>-6.0008968349999998</v>
      </c>
      <c r="F62">
        <v>-0.253618436</v>
      </c>
      <c r="G62">
        <v>-9.1931356470000001</v>
      </c>
    </row>
    <row r="63" spans="1:7">
      <c r="A63" t="s">
        <v>975</v>
      </c>
      <c r="B63">
        <v>4</v>
      </c>
      <c r="C63">
        <v>1962</v>
      </c>
      <c r="D63">
        <v>4.3854485609999996</v>
      </c>
      <c r="E63">
        <v>-5.9874767330000003</v>
      </c>
      <c r="F63">
        <v>-0.218754003</v>
      </c>
      <c r="G63">
        <v>-9.0472836060000006</v>
      </c>
    </row>
    <row r="64" spans="1:7">
      <c r="A64" t="s">
        <v>975</v>
      </c>
      <c r="B64">
        <v>4</v>
      </c>
      <c r="C64">
        <v>1963</v>
      </c>
      <c r="D64">
        <v>4.3539971900000003</v>
      </c>
      <c r="E64">
        <v>-5.9730600300000001</v>
      </c>
      <c r="F64">
        <v>-0.24800936100000001</v>
      </c>
      <c r="G64">
        <v>-8.9527830179999999</v>
      </c>
    </row>
    <row r="65" spans="1:7">
      <c r="A65" t="s">
        <v>975</v>
      </c>
      <c r="B65">
        <v>4</v>
      </c>
      <c r="C65">
        <v>1964</v>
      </c>
      <c r="D65">
        <v>4.3264356189999997</v>
      </c>
      <c r="E65">
        <v>-5.8947414560000002</v>
      </c>
      <c r="F65">
        <v>-0.30654923499999998</v>
      </c>
      <c r="G65">
        <v>-8.8526066669999999</v>
      </c>
    </row>
    <row r="66" spans="1:7">
      <c r="A66" t="s">
        <v>975</v>
      </c>
      <c r="B66">
        <v>4</v>
      </c>
      <c r="C66">
        <v>1965</v>
      </c>
      <c r="D66">
        <v>4.2494535549999997</v>
      </c>
      <c r="E66">
        <v>-5.8593558589999999</v>
      </c>
      <c r="F66">
        <v>-0.327015424</v>
      </c>
      <c r="G66">
        <v>-8.7619537510000001</v>
      </c>
    </row>
    <row r="67" spans="1:7">
      <c r="A67" t="s">
        <v>975</v>
      </c>
      <c r="B67">
        <v>4</v>
      </c>
      <c r="C67">
        <v>1966</v>
      </c>
      <c r="D67">
        <v>4.2336434839999999</v>
      </c>
      <c r="E67">
        <v>-5.8518656289999997</v>
      </c>
      <c r="F67">
        <v>-0.39618845899999999</v>
      </c>
      <c r="G67">
        <v>-8.6815409139999993</v>
      </c>
    </row>
    <row r="68" spans="1:7">
      <c r="A68" t="s">
        <v>975</v>
      </c>
      <c r="B68">
        <v>4</v>
      </c>
      <c r="C68">
        <v>1967</v>
      </c>
      <c r="D68">
        <v>4.2034662750000003</v>
      </c>
      <c r="E68">
        <v>-5.8230639399999999</v>
      </c>
      <c r="F68">
        <v>-0.44257368699999999</v>
      </c>
      <c r="G68">
        <v>-8.6021214100000005</v>
      </c>
    </row>
    <row r="69" spans="1:7">
      <c r="A69" t="s">
        <v>975</v>
      </c>
      <c r="B69">
        <v>4</v>
      </c>
      <c r="C69">
        <v>1968</v>
      </c>
      <c r="D69">
        <v>4.1616874030000002</v>
      </c>
      <c r="E69">
        <v>-5.7922604350000002</v>
      </c>
      <c r="F69">
        <v>-0.35204752099999997</v>
      </c>
      <c r="G69">
        <v>-8.5337738820000002</v>
      </c>
    </row>
    <row r="70" spans="1:7">
      <c r="A70" t="s">
        <v>975</v>
      </c>
      <c r="B70">
        <v>4</v>
      </c>
      <c r="C70">
        <v>1969</v>
      </c>
      <c r="D70">
        <v>4.1735614129999998</v>
      </c>
      <c r="E70">
        <v>-5.7227692899999996</v>
      </c>
      <c r="F70">
        <v>-0.40687921900000001</v>
      </c>
      <c r="G70">
        <v>-8.4704594479999997</v>
      </c>
    </row>
    <row r="71" spans="1:7">
      <c r="A71" t="s">
        <v>975</v>
      </c>
      <c r="B71">
        <v>4</v>
      </c>
      <c r="C71">
        <v>1970</v>
      </c>
      <c r="D71">
        <v>4.1288071759999996</v>
      </c>
      <c r="E71">
        <v>-5.7083073009999996</v>
      </c>
      <c r="F71">
        <v>-0.44046082199999997</v>
      </c>
      <c r="G71">
        <v>-8.427059581</v>
      </c>
    </row>
    <row r="72" spans="1:7">
      <c r="A72" t="s">
        <v>975</v>
      </c>
      <c r="B72">
        <v>4</v>
      </c>
      <c r="C72">
        <v>1971</v>
      </c>
      <c r="D72">
        <v>4.103146293</v>
      </c>
      <c r="E72">
        <v>-5.676820234</v>
      </c>
      <c r="F72">
        <v>-0.454739536</v>
      </c>
      <c r="G72">
        <v>-8.3693990770000006</v>
      </c>
    </row>
    <row r="73" spans="1:7">
      <c r="A73" t="s">
        <v>975</v>
      </c>
      <c r="B73">
        <v>4</v>
      </c>
      <c r="C73">
        <v>1972</v>
      </c>
      <c r="D73">
        <v>4.0828078440000004</v>
      </c>
      <c r="E73">
        <v>-5.6459907290000002</v>
      </c>
      <c r="F73">
        <v>-0.49918863400000002</v>
      </c>
      <c r="G73">
        <v>-8.3346726100000001</v>
      </c>
    </row>
    <row r="74" spans="1:7">
      <c r="A74" t="s">
        <v>975</v>
      </c>
      <c r="B74">
        <v>4</v>
      </c>
      <c r="C74">
        <v>1973</v>
      </c>
      <c r="D74">
        <v>4.1374377950000003</v>
      </c>
      <c r="E74">
        <v>-5.595861566</v>
      </c>
      <c r="F74">
        <v>-0.43257184599999998</v>
      </c>
      <c r="G74">
        <v>-8.3046022520000005</v>
      </c>
    </row>
    <row r="75" spans="1:7">
      <c r="A75" t="s">
        <v>975</v>
      </c>
      <c r="B75">
        <v>4</v>
      </c>
      <c r="C75">
        <v>1974</v>
      </c>
      <c r="D75">
        <v>4.0004608030000002</v>
      </c>
      <c r="E75">
        <v>-5.5948655860000001</v>
      </c>
      <c r="F75">
        <v>-0.42517719599999998</v>
      </c>
      <c r="G75">
        <v>-8.3001767470000001</v>
      </c>
    </row>
    <row r="76" spans="1:7">
      <c r="A76" t="s">
        <v>975</v>
      </c>
      <c r="B76">
        <v>4</v>
      </c>
      <c r="C76">
        <v>1975</v>
      </c>
      <c r="D76">
        <v>4.0330145630000001</v>
      </c>
      <c r="E76">
        <v>-5.6129666050000004</v>
      </c>
      <c r="F76">
        <v>-0.393954315</v>
      </c>
      <c r="G76">
        <v>-8.2746315540000008</v>
      </c>
    </row>
    <row r="77" spans="1:7">
      <c r="A77" t="s">
        <v>975</v>
      </c>
      <c r="B77">
        <v>4</v>
      </c>
      <c r="C77">
        <v>1976</v>
      </c>
      <c r="D77">
        <v>4.007738947</v>
      </c>
      <c r="E77">
        <v>-5.5539387390000003</v>
      </c>
      <c r="F77">
        <v>-0.35361534300000003</v>
      </c>
      <c r="G77">
        <v>-8.2440869140000004</v>
      </c>
    </row>
    <row r="78" spans="1:7">
      <c r="A78" t="s">
        <v>975</v>
      </c>
      <c r="B78">
        <v>4</v>
      </c>
      <c r="C78">
        <v>1977</v>
      </c>
      <c r="D78">
        <v>4.0052904180000004</v>
      </c>
      <c r="E78">
        <v>-5.5387302219999999</v>
      </c>
      <c r="F78">
        <v>-0.35690916700000003</v>
      </c>
      <c r="G78">
        <v>-8.2198581130000008</v>
      </c>
    </row>
    <row r="79" spans="1:7">
      <c r="A79" t="s">
        <v>975</v>
      </c>
      <c r="B79">
        <v>4</v>
      </c>
      <c r="C79">
        <v>1978</v>
      </c>
      <c r="D79">
        <v>4.036601084</v>
      </c>
      <c r="E79">
        <v>-5.4830735219999998</v>
      </c>
      <c r="F79">
        <v>-0.290681352</v>
      </c>
      <c r="G79">
        <v>-8.1958054730000001</v>
      </c>
    </row>
    <row r="80" spans="1:7">
      <c r="A80" t="s">
        <v>976</v>
      </c>
      <c r="B80">
        <v>5</v>
      </c>
      <c r="C80">
        <v>1960</v>
      </c>
      <c r="D80">
        <v>3.907704233</v>
      </c>
      <c r="E80">
        <v>-6.2643628250000001</v>
      </c>
      <c r="F80">
        <v>-1.9598332E-2</v>
      </c>
      <c r="G80">
        <v>-9.1457060800000001</v>
      </c>
    </row>
    <row r="81" spans="1:7">
      <c r="A81" t="s">
        <v>976</v>
      </c>
      <c r="B81">
        <v>5</v>
      </c>
      <c r="C81">
        <v>1961</v>
      </c>
      <c r="D81">
        <v>3.8856225129999999</v>
      </c>
      <c r="E81">
        <v>-6.2208830710000003</v>
      </c>
      <c r="F81">
        <v>-2.3859998E-2</v>
      </c>
      <c r="G81">
        <v>-9.0442532930000006</v>
      </c>
    </row>
    <row r="82" spans="1:7">
      <c r="A82" t="s">
        <v>976</v>
      </c>
      <c r="B82">
        <v>5</v>
      </c>
      <c r="C82">
        <v>1962</v>
      </c>
      <c r="D82">
        <v>3.823666088</v>
      </c>
      <c r="E82">
        <v>-6.1735924840000003</v>
      </c>
      <c r="F82">
        <v>-6.8920220000000004E-2</v>
      </c>
      <c r="G82">
        <v>-8.9301329739999993</v>
      </c>
    </row>
    <row r="83" spans="1:7">
      <c r="A83" t="s">
        <v>976</v>
      </c>
      <c r="B83">
        <v>5</v>
      </c>
      <c r="C83">
        <v>1963</v>
      </c>
      <c r="D83">
        <v>3.7889965650000001</v>
      </c>
      <c r="E83">
        <v>-6.1370602359999999</v>
      </c>
      <c r="F83">
        <v>-0.137928998</v>
      </c>
      <c r="G83">
        <v>-8.8186317970000001</v>
      </c>
    </row>
    <row r="84" spans="1:7">
      <c r="A84" t="s">
        <v>976</v>
      </c>
      <c r="B84">
        <v>5</v>
      </c>
      <c r="C84">
        <v>1964</v>
      </c>
      <c r="D84">
        <v>3.7670843700000001</v>
      </c>
      <c r="E84">
        <v>-6.0872368420000003</v>
      </c>
      <c r="F84">
        <v>-0.197846462</v>
      </c>
      <c r="G84">
        <v>-8.7109648580000005</v>
      </c>
    </row>
    <row r="85" spans="1:7">
      <c r="A85" t="s">
        <v>976</v>
      </c>
      <c r="B85">
        <v>5</v>
      </c>
      <c r="C85">
        <v>1965</v>
      </c>
      <c r="D85">
        <v>3.7605836479999999</v>
      </c>
      <c r="E85">
        <v>-6.0485277929999999</v>
      </c>
      <c r="F85">
        <v>-0.23365324900000001</v>
      </c>
      <c r="G85">
        <v>-8.629390442</v>
      </c>
    </row>
    <row r="86" spans="1:7">
      <c r="A86" t="s">
        <v>976</v>
      </c>
      <c r="B86">
        <v>5</v>
      </c>
      <c r="C86">
        <v>1966</v>
      </c>
      <c r="D86">
        <v>3.749534857</v>
      </c>
      <c r="E86">
        <v>-6.0008361749999999</v>
      </c>
      <c r="F86">
        <v>-0.264271637</v>
      </c>
      <c r="G86">
        <v>-8.5457709860000008</v>
      </c>
    </row>
    <row r="87" spans="1:7">
      <c r="A87" t="s">
        <v>976</v>
      </c>
      <c r="B87">
        <v>5</v>
      </c>
      <c r="C87">
        <v>1967</v>
      </c>
      <c r="D87">
        <v>3.768620753</v>
      </c>
      <c r="E87">
        <v>-5.9556597599999996</v>
      </c>
      <c r="F87">
        <v>-0.29405795200000001</v>
      </c>
      <c r="G87">
        <v>-8.4873699079999998</v>
      </c>
    </row>
    <row r="88" spans="1:7">
      <c r="A88" t="s">
        <v>976</v>
      </c>
      <c r="B88">
        <v>5</v>
      </c>
      <c r="C88">
        <v>1968</v>
      </c>
      <c r="D88">
        <v>3.7782304139999998</v>
      </c>
      <c r="E88">
        <v>-5.9013796970000003</v>
      </c>
      <c r="F88">
        <v>-0.32316179</v>
      </c>
      <c r="G88">
        <v>-8.4255508649999999</v>
      </c>
    </row>
    <row r="89" spans="1:7">
      <c r="A89" t="s">
        <v>976</v>
      </c>
      <c r="B89">
        <v>5</v>
      </c>
      <c r="C89">
        <v>1969</v>
      </c>
      <c r="D89">
        <v>3.7734600010000001</v>
      </c>
      <c r="E89">
        <v>-5.8407740050000001</v>
      </c>
      <c r="F89">
        <v>-0.31519087099999998</v>
      </c>
      <c r="G89">
        <v>-8.3691364450000005</v>
      </c>
    </row>
    <row r="90" spans="1:7">
      <c r="A90" t="s">
        <v>976</v>
      </c>
      <c r="B90">
        <v>5</v>
      </c>
      <c r="C90">
        <v>1970</v>
      </c>
      <c r="D90">
        <v>3.8015826530000001</v>
      </c>
      <c r="E90">
        <v>-5.784180922</v>
      </c>
      <c r="F90">
        <v>-0.33384615600000001</v>
      </c>
      <c r="G90">
        <v>-8.3270889849999996</v>
      </c>
    </row>
    <row r="91" spans="1:7">
      <c r="A91" t="s">
        <v>976</v>
      </c>
      <c r="B91">
        <v>5</v>
      </c>
      <c r="C91">
        <v>1971</v>
      </c>
      <c r="D91">
        <v>3.825962225</v>
      </c>
      <c r="E91">
        <v>-5.7431437460000003</v>
      </c>
      <c r="F91">
        <v>-0.37945666700000003</v>
      </c>
      <c r="G91">
        <v>-8.2795215399999993</v>
      </c>
    </row>
    <row r="92" spans="1:7">
      <c r="A92" t="s">
        <v>976</v>
      </c>
      <c r="B92">
        <v>5</v>
      </c>
      <c r="C92">
        <v>1972</v>
      </c>
      <c r="D92">
        <v>3.8466772420000002</v>
      </c>
      <c r="E92">
        <v>-5.6991070319999997</v>
      </c>
      <c r="F92">
        <v>-0.40781641899999999</v>
      </c>
      <c r="G92">
        <v>-8.2227641049999995</v>
      </c>
    </row>
    <row r="93" spans="1:7">
      <c r="A93" t="s">
        <v>976</v>
      </c>
      <c r="B93">
        <v>5</v>
      </c>
      <c r="C93">
        <v>1973</v>
      </c>
      <c r="D93">
        <v>3.8849943329999999</v>
      </c>
      <c r="E93">
        <v>-5.6550650359999999</v>
      </c>
      <c r="F93">
        <v>-0.47503428800000003</v>
      </c>
      <c r="G93">
        <v>-8.1839048840000004</v>
      </c>
    </row>
    <row r="94" spans="1:7">
      <c r="A94" t="s">
        <v>976</v>
      </c>
      <c r="B94">
        <v>5</v>
      </c>
      <c r="C94">
        <v>1974</v>
      </c>
      <c r="D94">
        <v>3.807994935</v>
      </c>
      <c r="E94">
        <v>-5.6300957609999998</v>
      </c>
      <c r="F94">
        <v>-0.216981915</v>
      </c>
      <c r="G94">
        <v>-8.1603277530000007</v>
      </c>
    </row>
    <row r="95" spans="1:7">
      <c r="A95" t="s">
        <v>976</v>
      </c>
      <c r="B95">
        <v>5</v>
      </c>
      <c r="C95">
        <v>1975</v>
      </c>
      <c r="D95">
        <v>3.8085488719999998</v>
      </c>
      <c r="E95">
        <v>-5.6332705929999998</v>
      </c>
      <c r="F95">
        <v>-0.258381739</v>
      </c>
      <c r="G95">
        <v>-8.1454662229999997</v>
      </c>
    </row>
    <row r="96" spans="1:7">
      <c r="A96" t="s">
        <v>976</v>
      </c>
      <c r="B96">
        <v>5</v>
      </c>
      <c r="C96">
        <v>1976</v>
      </c>
      <c r="D96">
        <v>3.9081160119999998</v>
      </c>
      <c r="E96">
        <v>-5.5883352220000004</v>
      </c>
      <c r="F96">
        <v>-0.24651309199999999</v>
      </c>
      <c r="G96">
        <v>-8.1104064559999998</v>
      </c>
    </row>
    <row r="97" spans="1:7">
      <c r="A97" t="s">
        <v>976</v>
      </c>
      <c r="B97">
        <v>5</v>
      </c>
      <c r="C97">
        <v>1977</v>
      </c>
      <c r="D97">
        <v>3.8125003730000002</v>
      </c>
      <c r="E97">
        <v>-5.5634178289999996</v>
      </c>
      <c r="F97">
        <v>-0.225506808</v>
      </c>
      <c r="G97">
        <v>-8.0641467690000006</v>
      </c>
    </row>
    <row r="98" spans="1:7">
      <c r="A98" t="s">
        <v>976</v>
      </c>
      <c r="B98">
        <v>5</v>
      </c>
      <c r="C98">
        <v>1978</v>
      </c>
      <c r="D98">
        <v>3.788882562</v>
      </c>
      <c r="E98">
        <v>-5.5302469529999998</v>
      </c>
      <c r="F98">
        <v>-0.38075942200000001</v>
      </c>
      <c r="G98">
        <v>-8.0056549029999999</v>
      </c>
    </row>
    <row r="99" spans="1:7">
      <c r="A99" t="s">
        <v>977</v>
      </c>
      <c r="B99">
        <v>6</v>
      </c>
      <c r="C99">
        <v>1960</v>
      </c>
      <c r="D99">
        <v>3.9169531719999999</v>
      </c>
      <c r="E99">
        <v>-6.1598370530000004</v>
      </c>
      <c r="F99">
        <v>-0.185910784</v>
      </c>
      <c r="G99">
        <v>-9.3424807649999995</v>
      </c>
    </row>
    <row r="100" spans="1:7">
      <c r="A100" t="s">
        <v>977</v>
      </c>
      <c r="B100">
        <v>6</v>
      </c>
      <c r="C100">
        <v>1961</v>
      </c>
      <c r="D100">
        <v>3.885345397</v>
      </c>
      <c r="E100">
        <v>-6.120923339</v>
      </c>
      <c r="F100">
        <v>-0.23095384099999999</v>
      </c>
      <c r="G100">
        <v>-9.1838406199999998</v>
      </c>
    </row>
    <row r="101" spans="1:7">
      <c r="A101" t="s">
        <v>977</v>
      </c>
      <c r="B101">
        <v>6</v>
      </c>
      <c r="C101">
        <v>1962</v>
      </c>
      <c r="D101">
        <v>3.871484041</v>
      </c>
      <c r="E101">
        <v>-6.0942575210000003</v>
      </c>
      <c r="F101">
        <v>-0.343841709</v>
      </c>
      <c r="G101">
        <v>-9.0372801819999999</v>
      </c>
    </row>
    <row r="102" spans="1:7">
      <c r="A102" t="s">
        <v>977</v>
      </c>
      <c r="B102">
        <v>6</v>
      </c>
      <c r="C102">
        <v>1963</v>
      </c>
      <c r="D102">
        <v>3.8487823990000001</v>
      </c>
      <c r="E102">
        <v>-6.068360663</v>
      </c>
      <c r="F102">
        <v>-0.37464672100000002</v>
      </c>
      <c r="G102">
        <v>-8.9136295749999999</v>
      </c>
    </row>
    <row r="103" spans="1:7">
      <c r="A103" t="s">
        <v>977</v>
      </c>
      <c r="B103">
        <v>6</v>
      </c>
      <c r="C103">
        <v>1964</v>
      </c>
      <c r="D103">
        <v>3.8689929749999998</v>
      </c>
      <c r="E103">
        <v>-6.0134421439999999</v>
      </c>
      <c r="F103">
        <v>-0.39965255799999999</v>
      </c>
      <c r="G103">
        <v>-8.8110128920000008</v>
      </c>
    </row>
    <row r="104" spans="1:7">
      <c r="A104" t="s">
        <v>977</v>
      </c>
      <c r="B104">
        <v>6</v>
      </c>
      <c r="C104">
        <v>1965</v>
      </c>
      <c r="D104">
        <v>3.8610491640000002</v>
      </c>
      <c r="E104">
        <v>-5.9664687360000004</v>
      </c>
      <c r="F104">
        <v>-0.43987825000000003</v>
      </c>
      <c r="G104">
        <v>-8.7118877270000006</v>
      </c>
    </row>
    <row r="105" spans="1:7">
      <c r="A105" t="s">
        <v>977</v>
      </c>
      <c r="B105">
        <v>6</v>
      </c>
      <c r="C105">
        <v>1966</v>
      </c>
      <c r="D105">
        <v>3.8807406530000002</v>
      </c>
      <c r="E105">
        <v>-5.9490679579999997</v>
      </c>
      <c r="F105">
        <v>-0.54000196899999997</v>
      </c>
      <c r="G105">
        <v>-8.6311923430000004</v>
      </c>
    </row>
    <row r="106" spans="1:7">
      <c r="A106" t="s">
        <v>977</v>
      </c>
      <c r="B106">
        <v>6</v>
      </c>
      <c r="C106">
        <v>1967</v>
      </c>
      <c r="D106">
        <v>3.8750318689999999</v>
      </c>
      <c r="E106">
        <v>-5.9600414590000002</v>
      </c>
      <c r="F106">
        <v>-0.54998138900000004</v>
      </c>
      <c r="G106">
        <v>-8.5760134459999993</v>
      </c>
    </row>
    <row r="107" spans="1:7">
      <c r="A107" t="s">
        <v>977</v>
      </c>
      <c r="B107">
        <v>6</v>
      </c>
      <c r="C107">
        <v>1968</v>
      </c>
      <c r="D107">
        <v>3.8893615239999999</v>
      </c>
      <c r="E107">
        <v>-5.8834142659999999</v>
      </c>
      <c r="F107">
        <v>-0.43824222200000001</v>
      </c>
      <c r="G107">
        <v>-8.5158645079999999</v>
      </c>
    </row>
    <row r="108" spans="1:7">
      <c r="A108" t="s">
        <v>977</v>
      </c>
      <c r="B108">
        <v>6</v>
      </c>
      <c r="C108">
        <v>1969</v>
      </c>
      <c r="D108">
        <v>3.8991846809999999</v>
      </c>
      <c r="E108">
        <v>-5.829640962</v>
      </c>
      <c r="F108">
        <v>-0.58923136700000001</v>
      </c>
      <c r="G108">
        <v>-8.4380612310000007</v>
      </c>
    </row>
    <row r="109" spans="1:7">
      <c r="A109" t="s">
        <v>977</v>
      </c>
      <c r="B109">
        <v>6</v>
      </c>
      <c r="C109">
        <v>1970</v>
      </c>
      <c r="D109">
        <v>3.902520419</v>
      </c>
      <c r="E109">
        <v>-5.7673740660000004</v>
      </c>
      <c r="F109">
        <v>-0.63329519700000003</v>
      </c>
      <c r="G109">
        <v>-8.3619292359999999</v>
      </c>
    </row>
    <row r="110" spans="1:7">
      <c r="A110" t="s">
        <v>977</v>
      </c>
      <c r="B110">
        <v>6</v>
      </c>
      <c r="C110">
        <v>1971</v>
      </c>
      <c r="D110">
        <v>3.9321042579999999</v>
      </c>
      <c r="E110">
        <v>-5.7380199779999996</v>
      </c>
      <c r="F110">
        <v>-0.67176310900000002</v>
      </c>
      <c r="G110">
        <v>-8.283823108</v>
      </c>
    </row>
    <row r="111" spans="1:7">
      <c r="A111" t="s">
        <v>977</v>
      </c>
      <c r="B111">
        <v>6</v>
      </c>
      <c r="C111">
        <v>1972</v>
      </c>
      <c r="D111">
        <v>3.9324021679999999</v>
      </c>
      <c r="E111">
        <v>-5.7187501559999996</v>
      </c>
      <c r="F111">
        <v>-0.71797457899999995</v>
      </c>
      <c r="G111">
        <v>-8.2371615180000006</v>
      </c>
    </row>
    <row r="112" spans="1:7">
      <c r="A112" t="s">
        <v>977</v>
      </c>
      <c r="B112">
        <v>6</v>
      </c>
      <c r="C112">
        <v>1973</v>
      </c>
      <c r="D112">
        <v>3.9241556790000001</v>
      </c>
      <c r="E112">
        <v>-5.6681689989999997</v>
      </c>
      <c r="F112">
        <v>-0.72587520699999997</v>
      </c>
      <c r="G112">
        <v>-8.1990035100000007</v>
      </c>
    </row>
    <row r="113" spans="1:7">
      <c r="A113" t="s">
        <v>977</v>
      </c>
      <c r="B113">
        <v>6</v>
      </c>
      <c r="C113">
        <v>1974</v>
      </c>
      <c r="D113">
        <v>3.888212357</v>
      </c>
      <c r="E113">
        <v>-5.6639636219999998</v>
      </c>
      <c r="F113">
        <v>-0.56982875899999996</v>
      </c>
      <c r="G113">
        <v>-8.1826798190000005</v>
      </c>
    </row>
    <row r="114" spans="1:7">
      <c r="A114" t="s">
        <v>977</v>
      </c>
      <c r="B114">
        <v>6</v>
      </c>
      <c r="C114">
        <v>1975</v>
      </c>
      <c r="D114">
        <v>3.922028648</v>
      </c>
      <c r="E114">
        <v>-5.6790565280000003</v>
      </c>
      <c r="F114">
        <v>-0.56482379599999999</v>
      </c>
      <c r="G114">
        <v>-8.1473432500000005</v>
      </c>
    </row>
    <row r="115" spans="1:7">
      <c r="A115" t="s">
        <v>977</v>
      </c>
      <c r="B115">
        <v>6</v>
      </c>
      <c r="C115">
        <v>1976</v>
      </c>
      <c r="D115">
        <v>3.8964692670000001</v>
      </c>
      <c r="E115">
        <v>-5.6238408360000003</v>
      </c>
      <c r="F115">
        <v>-0.62481297800000002</v>
      </c>
      <c r="G115">
        <v>-8.0870605760000007</v>
      </c>
    </row>
    <row r="116" spans="1:7">
      <c r="A116" t="s">
        <v>977</v>
      </c>
      <c r="B116">
        <v>6</v>
      </c>
      <c r="C116">
        <v>1977</v>
      </c>
      <c r="D116">
        <v>3.8956900509999999</v>
      </c>
      <c r="E116">
        <v>-5.5946093340000003</v>
      </c>
      <c r="F116">
        <v>-0.59761209599999998</v>
      </c>
      <c r="G116">
        <v>-8.0111018840000003</v>
      </c>
    </row>
    <row r="117" spans="1:7">
      <c r="A117" t="s">
        <v>977</v>
      </c>
      <c r="B117">
        <v>6</v>
      </c>
      <c r="C117">
        <v>1978</v>
      </c>
      <c r="D117">
        <v>3.8838785589999998</v>
      </c>
      <c r="E117">
        <v>-5.5617334469999999</v>
      </c>
      <c r="F117">
        <v>-0.62817279000000004</v>
      </c>
      <c r="G117">
        <v>-7.9500794289999996</v>
      </c>
    </row>
    <row r="118" spans="1:7">
      <c r="A118" t="s">
        <v>978</v>
      </c>
      <c r="B118">
        <v>7</v>
      </c>
      <c r="C118">
        <v>1960</v>
      </c>
      <c r="D118">
        <v>5.0374055350000004</v>
      </c>
      <c r="E118">
        <v>-7.1648614479999999</v>
      </c>
      <c r="F118">
        <v>-8.3547397999999995E-2</v>
      </c>
      <c r="G118">
        <v>-12.173813689999999</v>
      </c>
    </row>
    <row r="119" spans="1:7">
      <c r="A119" t="s">
        <v>978</v>
      </c>
      <c r="B119">
        <v>7</v>
      </c>
      <c r="C119">
        <v>1961</v>
      </c>
      <c r="D119">
        <v>5.3814948730000003</v>
      </c>
      <c r="E119">
        <v>-7.0733465840000003</v>
      </c>
      <c r="F119">
        <v>-0.104219969</v>
      </c>
      <c r="G119">
        <v>-12.051683840000001</v>
      </c>
    </row>
    <row r="120" spans="1:7">
      <c r="A120" t="s">
        <v>978</v>
      </c>
      <c r="B120">
        <v>7</v>
      </c>
      <c r="C120">
        <v>1962</v>
      </c>
      <c r="D120">
        <v>5.1880716429999998</v>
      </c>
      <c r="E120">
        <v>-7.0514216889999997</v>
      </c>
      <c r="F120">
        <v>-0.133207506</v>
      </c>
      <c r="G120">
        <v>-11.906389020000001</v>
      </c>
    </row>
    <row r="121" spans="1:7">
      <c r="A121" t="s">
        <v>978</v>
      </c>
      <c r="B121">
        <v>7</v>
      </c>
      <c r="C121">
        <v>1963</v>
      </c>
      <c r="D121">
        <v>5.0834118479999999</v>
      </c>
      <c r="E121">
        <v>-6.9820245280000002</v>
      </c>
      <c r="F121">
        <v>-0.156535759</v>
      </c>
      <c r="G121">
        <v>-11.7337133</v>
      </c>
    </row>
    <row r="122" spans="1:7">
      <c r="A122" t="s">
        <v>978</v>
      </c>
      <c r="B122">
        <v>7</v>
      </c>
      <c r="C122">
        <v>1964</v>
      </c>
      <c r="D122">
        <v>5.1786270249999999</v>
      </c>
      <c r="E122">
        <v>-6.898712669</v>
      </c>
      <c r="F122">
        <v>-0.18051772299999999</v>
      </c>
      <c r="G122">
        <v>-11.55003325</v>
      </c>
    </row>
    <row r="123" spans="1:7">
      <c r="A123" t="s">
        <v>978</v>
      </c>
      <c r="B123">
        <v>7</v>
      </c>
      <c r="C123">
        <v>1965</v>
      </c>
      <c r="D123">
        <v>5.0151124359999999</v>
      </c>
      <c r="E123">
        <v>-6.8229328320000002</v>
      </c>
      <c r="F123">
        <v>-7.7939993999999999E-2</v>
      </c>
      <c r="G123">
        <v>-11.31705094</v>
      </c>
    </row>
    <row r="124" spans="1:7">
      <c r="A124" t="s">
        <v>978</v>
      </c>
      <c r="B124">
        <v>7</v>
      </c>
      <c r="C124">
        <v>1966</v>
      </c>
      <c r="D124">
        <v>5.048395696</v>
      </c>
      <c r="E124">
        <v>-6.7750970930000003</v>
      </c>
      <c r="F124">
        <v>-0.11491899699999999</v>
      </c>
      <c r="G124">
        <v>-11.156714989999999</v>
      </c>
    </row>
    <row r="125" spans="1:7">
      <c r="A125" t="s">
        <v>978</v>
      </c>
      <c r="B125">
        <v>7</v>
      </c>
      <c r="C125">
        <v>1967</v>
      </c>
      <c r="D125">
        <v>4.9757754289999996</v>
      </c>
      <c r="E125">
        <v>-6.7324335169999996</v>
      </c>
      <c r="F125">
        <v>-0.13775848900000001</v>
      </c>
      <c r="G125">
        <v>-11.010857680000001</v>
      </c>
    </row>
    <row r="126" spans="1:7">
      <c r="A126" t="s">
        <v>978</v>
      </c>
      <c r="B126">
        <v>7</v>
      </c>
      <c r="C126">
        <v>1968</v>
      </c>
      <c r="D126">
        <v>4.9441602590000002</v>
      </c>
      <c r="E126">
        <v>-6.6768086569999996</v>
      </c>
      <c r="F126">
        <v>-0.15375883000000001</v>
      </c>
      <c r="G126">
        <v>-10.84762231</v>
      </c>
    </row>
    <row r="127" spans="1:7">
      <c r="A127" t="s">
        <v>978</v>
      </c>
      <c r="B127">
        <v>7</v>
      </c>
      <c r="C127">
        <v>1969</v>
      </c>
      <c r="D127">
        <v>4.8947734890000003</v>
      </c>
      <c r="E127">
        <v>-6.5911037690000001</v>
      </c>
      <c r="F127">
        <v>-0.17986997399999999</v>
      </c>
      <c r="G127">
        <v>-10.713847810000001</v>
      </c>
    </row>
    <row r="128" spans="1:7">
      <c r="A128" t="s">
        <v>978</v>
      </c>
      <c r="B128">
        <v>7</v>
      </c>
      <c r="C128">
        <v>1970</v>
      </c>
      <c r="D128">
        <v>4.8518237449999999</v>
      </c>
      <c r="E128">
        <v>-6.5102709770000002</v>
      </c>
      <c r="F128">
        <v>-0.20252426400000001</v>
      </c>
      <c r="G128">
        <v>-10.564516490000001</v>
      </c>
    </row>
    <row r="129" spans="1:7">
      <c r="A129" t="s">
        <v>978</v>
      </c>
      <c r="B129">
        <v>7</v>
      </c>
      <c r="C129">
        <v>1971</v>
      </c>
      <c r="D129">
        <v>4.8118147379999998</v>
      </c>
      <c r="E129">
        <v>-6.4374490959999999</v>
      </c>
      <c r="F129">
        <v>-6.7610783999999993E-2</v>
      </c>
      <c r="G129">
        <v>-10.41771647</v>
      </c>
    </row>
    <row r="130" spans="1:7">
      <c r="A130" t="s">
        <v>978</v>
      </c>
      <c r="B130">
        <v>7</v>
      </c>
      <c r="C130">
        <v>1972</v>
      </c>
      <c r="D130">
        <v>4.795708716</v>
      </c>
      <c r="E130">
        <v>-6.3480420889999998</v>
      </c>
      <c r="F130">
        <v>-0.119730585</v>
      </c>
      <c r="G130">
        <v>-10.28614221</v>
      </c>
    </row>
    <row r="131" spans="1:7">
      <c r="A131" t="s">
        <v>978</v>
      </c>
      <c r="B131">
        <v>7</v>
      </c>
      <c r="C131">
        <v>1973</v>
      </c>
      <c r="D131">
        <v>4.7685820879999996</v>
      </c>
      <c r="E131">
        <v>-6.2811704319999997</v>
      </c>
      <c r="F131">
        <v>-5.1910291999999997E-2</v>
      </c>
      <c r="G131">
        <v>-10.15649763</v>
      </c>
    </row>
    <row r="132" spans="1:7">
      <c r="A132" t="s">
        <v>978</v>
      </c>
      <c r="B132">
        <v>7</v>
      </c>
      <c r="C132">
        <v>1974</v>
      </c>
      <c r="D132">
        <v>4.6278067710000004</v>
      </c>
      <c r="E132">
        <v>-6.3245814070000002</v>
      </c>
      <c r="F132">
        <v>0.31625351000000002</v>
      </c>
      <c r="G132">
        <v>-10.0716746</v>
      </c>
    </row>
    <row r="133" spans="1:7">
      <c r="A133" t="s">
        <v>978</v>
      </c>
      <c r="B133">
        <v>7</v>
      </c>
      <c r="C133">
        <v>1975</v>
      </c>
      <c r="D133">
        <v>4.5809615109999999</v>
      </c>
      <c r="E133">
        <v>-6.2715875490000004</v>
      </c>
      <c r="F133">
        <v>0.206315738</v>
      </c>
      <c r="G133">
        <v>-9.9333338159999993</v>
      </c>
    </row>
    <row r="134" spans="1:7">
      <c r="A134" t="s">
        <v>978</v>
      </c>
      <c r="B134">
        <v>7</v>
      </c>
      <c r="C134">
        <v>1976</v>
      </c>
      <c r="D134">
        <v>4.4799557600000002</v>
      </c>
      <c r="E134">
        <v>-6.2247611059999999</v>
      </c>
      <c r="F134">
        <v>0.193193118</v>
      </c>
      <c r="G134">
        <v>-9.7769645109999992</v>
      </c>
    </row>
    <row r="135" spans="1:7">
      <c r="A135" t="s">
        <v>978</v>
      </c>
      <c r="B135">
        <v>7</v>
      </c>
      <c r="C135">
        <v>1977</v>
      </c>
      <c r="D135">
        <v>4.4846167570000004</v>
      </c>
      <c r="E135">
        <v>-6.2033736299999997</v>
      </c>
      <c r="F135">
        <v>0.235029612</v>
      </c>
      <c r="G135">
        <v>-9.6156977739999991</v>
      </c>
    </row>
    <row r="136" spans="1:7">
      <c r="A136" t="s">
        <v>978</v>
      </c>
      <c r="B136">
        <v>7</v>
      </c>
      <c r="C136">
        <v>1978</v>
      </c>
      <c r="D136">
        <v>4.5463996140000003</v>
      </c>
      <c r="E136">
        <v>-6.1511173039999996</v>
      </c>
      <c r="F136">
        <v>0.168960372</v>
      </c>
      <c r="G136">
        <v>-9.5749834860000007</v>
      </c>
    </row>
    <row r="137" spans="1:7">
      <c r="A137" t="s">
        <v>979</v>
      </c>
      <c r="B137">
        <v>8</v>
      </c>
      <c r="C137">
        <v>1960</v>
      </c>
      <c r="D137">
        <v>4.2704206029999998</v>
      </c>
      <c r="E137">
        <v>-6.7224655689999997</v>
      </c>
      <c r="F137">
        <v>-7.6481180999999995E-2</v>
      </c>
      <c r="G137">
        <v>-9.6981444000000003</v>
      </c>
    </row>
    <row r="138" spans="1:7">
      <c r="A138" t="s">
        <v>979</v>
      </c>
      <c r="B138">
        <v>8</v>
      </c>
      <c r="C138">
        <v>1961</v>
      </c>
      <c r="D138">
        <v>4.2552393669999997</v>
      </c>
      <c r="E138">
        <v>-6.6581658519999998</v>
      </c>
      <c r="F138">
        <v>-0.120408737</v>
      </c>
      <c r="G138">
        <v>-9.6048686980000006</v>
      </c>
    </row>
    <row r="139" spans="1:7">
      <c r="A139" t="s">
        <v>979</v>
      </c>
      <c r="B139">
        <v>8</v>
      </c>
      <c r="C139">
        <v>1962</v>
      </c>
      <c r="D139">
        <v>4.2084346369999999</v>
      </c>
      <c r="E139">
        <v>-6.622812272</v>
      </c>
      <c r="F139">
        <v>-0.14160039399999999</v>
      </c>
      <c r="G139">
        <v>-9.5021607889999995</v>
      </c>
    </row>
    <row r="140" spans="1:7">
      <c r="A140" t="s">
        <v>979</v>
      </c>
      <c r="B140">
        <v>8</v>
      </c>
      <c r="C140">
        <v>1963</v>
      </c>
      <c r="D140">
        <v>4.1766955970000001</v>
      </c>
      <c r="E140">
        <v>-6.5911724669999998</v>
      </c>
      <c r="F140">
        <v>-0.15232915399999999</v>
      </c>
      <c r="G140">
        <v>-9.4093319369999993</v>
      </c>
    </row>
    <row r="141" spans="1:7">
      <c r="A141" t="s">
        <v>979</v>
      </c>
      <c r="B141">
        <v>8</v>
      </c>
      <c r="C141">
        <v>1964</v>
      </c>
      <c r="D141">
        <v>4.186242773</v>
      </c>
      <c r="E141">
        <v>-6.5642811080000003</v>
      </c>
      <c r="F141">
        <v>-0.24428212499999999</v>
      </c>
      <c r="G141">
        <v>-9.3144209989999993</v>
      </c>
    </row>
    <row r="142" spans="1:7">
      <c r="A142" t="s">
        <v>979</v>
      </c>
      <c r="B142">
        <v>8</v>
      </c>
      <c r="C142">
        <v>1965</v>
      </c>
      <c r="D142">
        <v>4.1648956730000002</v>
      </c>
      <c r="E142">
        <v>-6.5483025550000002</v>
      </c>
      <c r="F142">
        <v>-0.16899365999999999</v>
      </c>
      <c r="G142">
        <v>-9.2194218180000007</v>
      </c>
    </row>
    <row r="143" spans="1:7">
      <c r="A143" t="s">
        <v>979</v>
      </c>
      <c r="B143">
        <v>8</v>
      </c>
      <c r="C143">
        <v>1966</v>
      </c>
      <c r="D143">
        <v>4.1682144110000001</v>
      </c>
      <c r="E143">
        <v>-6.5519633370000001</v>
      </c>
      <c r="F143">
        <v>-0.21071901400000001</v>
      </c>
      <c r="G143">
        <v>-9.1709063030000006</v>
      </c>
    </row>
    <row r="144" spans="1:7">
      <c r="A144" t="s">
        <v>979</v>
      </c>
      <c r="B144">
        <v>8</v>
      </c>
      <c r="C144">
        <v>1967</v>
      </c>
      <c r="D144">
        <v>4.1889895639999999</v>
      </c>
      <c r="E144">
        <v>-6.5004834479999998</v>
      </c>
      <c r="F144">
        <v>-0.17383532800000001</v>
      </c>
      <c r="G144">
        <v>-9.1146853050000001</v>
      </c>
    </row>
    <row r="145" spans="1:7">
      <c r="A145" t="s">
        <v>979</v>
      </c>
      <c r="B145">
        <v>8</v>
      </c>
      <c r="C145">
        <v>1968</v>
      </c>
      <c r="D145">
        <v>4.18111984</v>
      </c>
      <c r="E145">
        <v>-6.6079631379999997</v>
      </c>
      <c r="F145">
        <v>-0.21339314200000001</v>
      </c>
      <c r="G145">
        <v>-9.0171955819999994</v>
      </c>
    </row>
    <row r="146" spans="1:7">
      <c r="A146" t="s">
        <v>979</v>
      </c>
      <c r="B146">
        <v>8</v>
      </c>
      <c r="C146">
        <v>1969</v>
      </c>
      <c r="D146">
        <v>4.2086126559999997</v>
      </c>
      <c r="E146">
        <v>-6.3797429130000003</v>
      </c>
      <c r="F146">
        <v>-0.27162841900000001</v>
      </c>
      <c r="G146">
        <v>-8.9472653290000004</v>
      </c>
    </row>
    <row r="147" spans="1:7">
      <c r="A147" t="s">
        <v>979</v>
      </c>
      <c r="B147">
        <v>8</v>
      </c>
      <c r="C147">
        <v>1970</v>
      </c>
      <c r="D147">
        <v>4.2499445180000004</v>
      </c>
      <c r="E147">
        <v>-6.3665173859999999</v>
      </c>
      <c r="F147">
        <v>-0.32069023000000002</v>
      </c>
      <c r="G147">
        <v>-8.9189288500000004</v>
      </c>
    </row>
    <row r="148" spans="1:7">
      <c r="A148" t="s">
        <v>979</v>
      </c>
      <c r="B148">
        <v>8</v>
      </c>
      <c r="C148">
        <v>1971</v>
      </c>
      <c r="D148">
        <v>4.267117754</v>
      </c>
      <c r="E148">
        <v>-6.3454411390000001</v>
      </c>
      <c r="F148">
        <v>-0.36041067100000002</v>
      </c>
      <c r="G148">
        <v>-8.871952426</v>
      </c>
    </row>
    <row r="149" spans="1:7">
      <c r="A149" t="s">
        <v>979</v>
      </c>
      <c r="B149">
        <v>8</v>
      </c>
      <c r="C149">
        <v>1972</v>
      </c>
      <c r="D149">
        <v>4.270767878</v>
      </c>
      <c r="E149">
        <v>-6.3135709469999997</v>
      </c>
      <c r="F149">
        <v>-0.42393130600000001</v>
      </c>
      <c r="G149">
        <v>-8.8239489560000006</v>
      </c>
    </row>
    <row r="150" spans="1:7">
      <c r="A150" t="s">
        <v>979</v>
      </c>
      <c r="B150">
        <v>8</v>
      </c>
      <c r="C150">
        <v>1973</v>
      </c>
      <c r="D150">
        <v>4.253827008</v>
      </c>
      <c r="E150">
        <v>-6.2965782399999997</v>
      </c>
      <c r="F150">
        <v>-0.64567297000000001</v>
      </c>
      <c r="G150">
        <v>-8.7557680019999999</v>
      </c>
    </row>
    <row r="151" spans="1:7">
      <c r="A151" t="s">
        <v>979</v>
      </c>
      <c r="B151">
        <v>8</v>
      </c>
      <c r="C151">
        <v>1974</v>
      </c>
      <c r="D151">
        <v>4.3255853240000004</v>
      </c>
      <c r="E151">
        <v>-6.2868846300000003</v>
      </c>
      <c r="F151">
        <v>-0.55343875499999995</v>
      </c>
      <c r="G151">
        <v>-8.7452029319999998</v>
      </c>
    </row>
    <row r="152" spans="1:7">
      <c r="A152" t="s">
        <v>979</v>
      </c>
      <c r="B152">
        <v>8</v>
      </c>
      <c r="C152">
        <v>1975</v>
      </c>
      <c r="D152">
        <v>4.2482183490000001</v>
      </c>
      <c r="E152">
        <v>-6.3019551849999997</v>
      </c>
      <c r="F152">
        <v>-0.64126416100000005</v>
      </c>
      <c r="G152">
        <v>-8.7094778710000007</v>
      </c>
    </row>
    <row r="153" spans="1:7">
      <c r="A153" t="s">
        <v>979</v>
      </c>
      <c r="B153">
        <v>8</v>
      </c>
      <c r="C153">
        <v>1976</v>
      </c>
      <c r="D153">
        <v>4.2211462270000002</v>
      </c>
      <c r="E153">
        <v>-6.2872665599999999</v>
      </c>
      <c r="F153">
        <v>-0.66134256300000005</v>
      </c>
      <c r="G153">
        <v>-8.6672244010000004</v>
      </c>
    </row>
    <row r="154" spans="1:7">
      <c r="A154" t="s">
        <v>979</v>
      </c>
      <c r="B154">
        <v>8</v>
      </c>
      <c r="C154">
        <v>1977</v>
      </c>
      <c r="D154">
        <v>4.2415507699999999</v>
      </c>
      <c r="E154">
        <v>-6.2511302039999999</v>
      </c>
      <c r="F154">
        <v>-0.56011482599999995</v>
      </c>
      <c r="G154">
        <v>-8.6407266739999997</v>
      </c>
    </row>
    <row r="155" spans="1:7">
      <c r="A155" t="s">
        <v>979</v>
      </c>
      <c r="B155">
        <v>8</v>
      </c>
      <c r="C155">
        <v>1978</v>
      </c>
      <c r="D155">
        <v>4.1986107290000003</v>
      </c>
      <c r="E155">
        <v>-6.1931427990000003</v>
      </c>
      <c r="F155">
        <v>-0.66277808400000005</v>
      </c>
      <c r="G155">
        <v>-8.5509905709999998</v>
      </c>
    </row>
    <row r="156" spans="1:7">
      <c r="A156" t="s">
        <v>980</v>
      </c>
      <c r="B156">
        <v>9</v>
      </c>
      <c r="C156">
        <v>1960</v>
      </c>
      <c r="D156">
        <v>4.0507282379999996</v>
      </c>
      <c r="E156">
        <v>-6.727487472</v>
      </c>
      <c r="F156">
        <v>0.16507707599999999</v>
      </c>
      <c r="G156">
        <v>-10.142097919999999</v>
      </c>
    </row>
    <row r="157" spans="1:7">
      <c r="A157" t="s">
        <v>980</v>
      </c>
      <c r="B157">
        <v>9</v>
      </c>
      <c r="C157">
        <v>1961</v>
      </c>
      <c r="D157">
        <v>4.0452481039999997</v>
      </c>
      <c r="E157">
        <v>-6.6553481889999997</v>
      </c>
      <c r="F157">
        <v>-8.5590383000000006E-2</v>
      </c>
      <c r="G157">
        <v>-9.9326617370000001</v>
      </c>
    </row>
    <row r="158" spans="1:7">
      <c r="A158" t="s">
        <v>980</v>
      </c>
      <c r="B158">
        <v>9</v>
      </c>
      <c r="C158">
        <v>1962</v>
      </c>
      <c r="D158">
        <v>4.0289989679999998</v>
      </c>
      <c r="E158">
        <v>-6.5997817469999998</v>
      </c>
      <c r="F158">
        <v>-0.183512909</v>
      </c>
      <c r="G158">
        <v>-9.7266952359999994</v>
      </c>
    </row>
    <row r="159" spans="1:7">
      <c r="A159" t="s">
        <v>980</v>
      </c>
      <c r="B159">
        <v>9</v>
      </c>
      <c r="C159">
        <v>1963</v>
      </c>
      <c r="D159">
        <v>3.9630862709999999</v>
      </c>
      <c r="E159">
        <v>-6.5526722319999999</v>
      </c>
      <c r="F159">
        <v>-0.26541404899999999</v>
      </c>
      <c r="G159">
        <v>-9.4787997659999998</v>
      </c>
    </row>
    <row r="160" spans="1:7">
      <c r="A160" t="s">
        <v>980</v>
      </c>
      <c r="B160">
        <v>9</v>
      </c>
      <c r="C160">
        <v>1964</v>
      </c>
      <c r="D160">
        <v>3.9363242540000001</v>
      </c>
      <c r="E160">
        <v>-6.6292957570000004</v>
      </c>
      <c r="F160">
        <v>-0.426096431</v>
      </c>
      <c r="G160">
        <v>-9.308466224</v>
      </c>
    </row>
    <row r="161" spans="1:7">
      <c r="A161" t="s">
        <v>980</v>
      </c>
      <c r="B161">
        <v>9</v>
      </c>
      <c r="C161">
        <v>1965</v>
      </c>
      <c r="D161">
        <v>3.874985181</v>
      </c>
      <c r="E161">
        <v>-6.6021889659999999</v>
      </c>
      <c r="F161">
        <v>-0.327126374</v>
      </c>
      <c r="G161">
        <v>-9.1580175730000004</v>
      </c>
    </row>
    <row r="162" spans="1:7">
      <c r="A162" t="s">
        <v>980</v>
      </c>
      <c r="B162">
        <v>9</v>
      </c>
      <c r="C162">
        <v>1966</v>
      </c>
      <c r="D162">
        <v>3.8227352400000001</v>
      </c>
      <c r="E162">
        <v>-6.4496825299999996</v>
      </c>
      <c r="F162">
        <v>-0.248874177</v>
      </c>
      <c r="G162">
        <v>-9.0148126000000008</v>
      </c>
    </row>
    <row r="163" spans="1:7">
      <c r="A163" t="s">
        <v>980</v>
      </c>
      <c r="B163">
        <v>9</v>
      </c>
      <c r="C163">
        <v>1967</v>
      </c>
      <c r="D163">
        <v>3.785808362</v>
      </c>
      <c r="E163">
        <v>-6.3935004830000004</v>
      </c>
      <c r="F163">
        <v>-0.19160047599999999</v>
      </c>
      <c r="G163">
        <v>-8.8832822169999996</v>
      </c>
    </row>
    <row r="164" spans="1:7">
      <c r="A164" t="s">
        <v>980</v>
      </c>
      <c r="B164">
        <v>9</v>
      </c>
      <c r="C164">
        <v>1968</v>
      </c>
      <c r="D164">
        <v>3.7639029800000001</v>
      </c>
      <c r="E164">
        <v>-6.3345094560000001</v>
      </c>
      <c r="F164">
        <v>-0.20616656</v>
      </c>
      <c r="G164">
        <v>-8.7641969199999998</v>
      </c>
    </row>
    <row r="165" spans="1:7">
      <c r="A165" t="s">
        <v>980</v>
      </c>
      <c r="B165">
        <v>9</v>
      </c>
      <c r="C165">
        <v>1969</v>
      </c>
      <c r="D165">
        <v>3.7373892839999998</v>
      </c>
      <c r="E165">
        <v>-6.2828569730000003</v>
      </c>
      <c r="F165">
        <v>-0.247566808</v>
      </c>
      <c r="G165">
        <v>-8.6660040299999999</v>
      </c>
    </row>
    <row r="166" spans="1:7">
      <c r="A166" t="s">
        <v>980</v>
      </c>
      <c r="B166">
        <v>9</v>
      </c>
      <c r="C166">
        <v>1970</v>
      </c>
      <c r="D166">
        <v>3.7068716730000002</v>
      </c>
      <c r="E166">
        <v>-6.2404531429999999</v>
      </c>
      <c r="F166">
        <v>-0.232715118</v>
      </c>
      <c r="G166">
        <v>-8.567337642</v>
      </c>
    </row>
    <row r="167" spans="1:7">
      <c r="A167" t="s">
        <v>980</v>
      </c>
      <c r="B167">
        <v>9</v>
      </c>
      <c r="C167">
        <v>1971</v>
      </c>
      <c r="D167">
        <v>3.6482050720000001</v>
      </c>
      <c r="E167">
        <v>-6.2226023990000003</v>
      </c>
      <c r="F167">
        <v>-0.148222668</v>
      </c>
      <c r="G167">
        <v>-8.4709683790000003</v>
      </c>
    </row>
    <row r="168" spans="1:7">
      <c r="A168" t="s">
        <v>980</v>
      </c>
      <c r="B168">
        <v>9</v>
      </c>
      <c r="C168">
        <v>1972</v>
      </c>
      <c r="D168">
        <v>3.6292434259999999</v>
      </c>
      <c r="E168">
        <v>-6.2056537049999996</v>
      </c>
      <c r="F168">
        <v>-0.21508857300000001</v>
      </c>
      <c r="G168">
        <v>-8.3801758769999992</v>
      </c>
    </row>
    <row r="169" spans="1:7">
      <c r="A169" t="s">
        <v>980</v>
      </c>
      <c r="B169">
        <v>9</v>
      </c>
      <c r="C169">
        <v>1973</v>
      </c>
      <c r="D169">
        <v>3.6522633940000002</v>
      </c>
      <c r="E169">
        <v>-6.1572967319999998</v>
      </c>
      <c r="F169">
        <v>-0.325084875</v>
      </c>
      <c r="G169">
        <v>-8.3167046290000002</v>
      </c>
    </row>
    <row r="170" spans="1:7">
      <c r="A170" t="s">
        <v>980</v>
      </c>
      <c r="B170">
        <v>9</v>
      </c>
      <c r="C170">
        <v>1974</v>
      </c>
      <c r="D170">
        <v>3.4994698999999998</v>
      </c>
      <c r="E170">
        <v>-6.1258438829999999</v>
      </c>
      <c r="F170">
        <v>-0.22290860300000001</v>
      </c>
      <c r="G170">
        <v>-8.2622558250000004</v>
      </c>
    </row>
    <row r="171" spans="1:7">
      <c r="A171" t="s">
        <v>980</v>
      </c>
      <c r="B171">
        <v>9</v>
      </c>
      <c r="C171">
        <v>1975</v>
      </c>
      <c r="D171">
        <v>3.515679515</v>
      </c>
      <c r="E171">
        <v>-6.1701000800000001</v>
      </c>
      <c r="F171">
        <v>-3.2709131000000002E-2</v>
      </c>
      <c r="G171">
        <v>-8.2176661210000006</v>
      </c>
    </row>
    <row r="172" spans="1:7">
      <c r="A172" t="s">
        <v>980</v>
      </c>
      <c r="B172">
        <v>9</v>
      </c>
      <c r="C172">
        <v>1976</v>
      </c>
      <c r="D172">
        <v>3.4276288190000002</v>
      </c>
      <c r="E172">
        <v>-6.1192220969999997</v>
      </c>
      <c r="F172">
        <v>0.102927982</v>
      </c>
      <c r="G172">
        <v>-8.1677559150000008</v>
      </c>
    </row>
    <row r="173" spans="1:7">
      <c r="A173" t="s">
        <v>980</v>
      </c>
      <c r="B173">
        <v>9</v>
      </c>
      <c r="C173">
        <v>1977</v>
      </c>
      <c r="D173">
        <v>3.3802089569999998</v>
      </c>
      <c r="E173">
        <v>-6.1045412649999999</v>
      </c>
      <c r="F173">
        <v>0.16418805</v>
      </c>
      <c r="G173">
        <v>-8.145660178</v>
      </c>
    </row>
    <row r="174" spans="1:7">
      <c r="A174" t="s">
        <v>980</v>
      </c>
      <c r="B174">
        <v>9</v>
      </c>
      <c r="C174">
        <v>1978</v>
      </c>
      <c r="D174">
        <v>3.3945044430000002</v>
      </c>
      <c r="E174">
        <v>-6.0836852559999999</v>
      </c>
      <c r="F174">
        <v>3.4822117999999999E-2</v>
      </c>
      <c r="G174">
        <v>-8.1128516430000008</v>
      </c>
    </row>
    <row r="175" spans="1:7">
      <c r="A175" t="s">
        <v>981</v>
      </c>
      <c r="B175">
        <v>10</v>
      </c>
      <c r="C175">
        <v>1960</v>
      </c>
      <c r="D175">
        <v>5.9952865559999999</v>
      </c>
      <c r="E175">
        <v>-6.9861963449999998</v>
      </c>
      <c r="F175">
        <v>-0.14532270999999999</v>
      </c>
      <c r="G175">
        <v>-12.235078939999999</v>
      </c>
    </row>
    <row r="176" spans="1:7">
      <c r="A176" t="s">
        <v>981</v>
      </c>
      <c r="B176">
        <v>10</v>
      </c>
      <c r="C176">
        <v>1961</v>
      </c>
      <c r="D176">
        <v>5.7584836099999999</v>
      </c>
      <c r="E176">
        <v>-6.8929514300000001</v>
      </c>
      <c r="F176">
        <v>-0.148749398</v>
      </c>
      <c r="G176">
        <v>-11.870473519999999</v>
      </c>
    </row>
    <row r="177" spans="1:7">
      <c r="A177" t="s">
        <v>981</v>
      </c>
      <c r="B177">
        <v>10</v>
      </c>
      <c r="C177">
        <v>1962</v>
      </c>
      <c r="D177">
        <v>5.6419150489999996</v>
      </c>
      <c r="E177">
        <v>-6.8058286900000002</v>
      </c>
      <c r="F177">
        <v>-0.187314589</v>
      </c>
      <c r="G177">
        <v>-11.587884750000001</v>
      </c>
    </row>
    <row r="178" spans="1:7">
      <c r="A178" t="s">
        <v>981</v>
      </c>
      <c r="B178">
        <v>10</v>
      </c>
      <c r="C178">
        <v>1963</v>
      </c>
      <c r="D178">
        <v>5.5080817010000001</v>
      </c>
      <c r="E178">
        <v>-6.7227597980000002</v>
      </c>
      <c r="F178">
        <v>-0.19996473000000001</v>
      </c>
      <c r="G178">
        <v>-11.27024465</v>
      </c>
    </row>
    <row r="179" spans="1:7">
      <c r="A179" t="s">
        <v>981</v>
      </c>
      <c r="B179">
        <v>10</v>
      </c>
      <c r="C179">
        <v>1964</v>
      </c>
      <c r="D179">
        <v>5.2753278479999999</v>
      </c>
      <c r="E179">
        <v>-6.6359153710000003</v>
      </c>
      <c r="F179">
        <v>-0.20386432600000001</v>
      </c>
      <c r="G179">
        <v>-10.976966040000001</v>
      </c>
    </row>
    <row r="180" spans="1:7">
      <c r="A180" t="s">
        <v>981</v>
      </c>
      <c r="B180">
        <v>10</v>
      </c>
      <c r="C180">
        <v>1965</v>
      </c>
      <c r="D180">
        <v>5.1258508029999996</v>
      </c>
      <c r="E180">
        <v>-6.5855629630000001</v>
      </c>
      <c r="F180">
        <v>-0.23786571100000001</v>
      </c>
      <c r="G180">
        <v>-10.72197991</v>
      </c>
    </row>
    <row r="181" spans="1:7">
      <c r="A181" t="s">
        <v>981</v>
      </c>
      <c r="B181">
        <v>10</v>
      </c>
      <c r="C181">
        <v>1966</v>
      </c>
      <c r="D181">
        <v>5.0008214410000003</v>
      </c>
      <c r="E181">
        <v>-6.5001879630000001</v>
      </c>
      <c r="F181">
        <v>-0.27411537499999999</v>
      </c>
      <c r="G181">
        <v>-10.469487040000001</v>
      </c>
    </row>
    <row r="182" spans="1:7">
      <c r="A182" t="s">
        <v>981</v>
      </c>
      <c r="B182">
        <v>10</v>
      </c>
      <c r="C182">
        <v>1967</v>
      </c>
      <c r="D182">
        <v>4.8548612369999997</v>
      </c>
      <c r="E182">
        <v>-6.3775964700000003</v>
      </c>
      <c r="F182">
        <v>-0.33167240199999998</v>
      </c>
      <c r="G182">
        <v>-10.17666187</v>
      </c>
    </row>
    <row r="183" spans="1:7">
      <c r="A183" t="s">
        <v>981</v>
      </c>
      <c r="B183">
        <v>10</v>
      </c>
      <c r="C183">
        <v>1968</v>
      </c>
      <c r="D183">
        <v>4.6846663529999999</v>
      </c>
      <c r="E183">
        <v>-6.2518772839999999</v>
      </c>
      <c r="F183">
        <v>-0.35126918499999998</v>
      </c>
      <c r="G183">
        <v>-9.8818498770000005</v>
      </c>
    </row>
    <row r="184" spans="1:7">
      <c r="A184" t="s">
        <v>981</v>
      </c>
      <c r="B184">
        <v>10</v>
      </c>
      <c r="C184">
        <v>1969</v>
      </c>
      <c r="D184">
        <v>4.5182899069999998</v>
      </c>
      <c r="E184">
        <v>-6.1593081789999999</v>
      </c>
      <c r="F184">
        <v>-0.41685018899999998</v>
      </c>
      <c r="G184">
        <v>-9.6075996129999996</v>
      </c>
    </row>
    <row r="185" spans="1:7">
      <c r="A185" t="s">
        <v>981</v>
      </c>
      <c r="B185">
        <v>10</v>
      </c>
      <c r="C185">
        <v>1970</v>
      </c>
      <c r="D185">
        <v>4.4015969520000002</v>
      </c>
      <c r="E185">
        <v>-6.0587366219999996</v>
      </c>
      <c r="F185">
        <v>-0.46203546000000001</v>
      </c>
      <c r="G185">
        <v>-9.3829517259999999</v>
      </c>
    </row>
    <row r="186" spans="1:7">
      <c r="A186" t="s">
        <v>981</v>
      </c>
      <c r="B186">
        <v>10</v>
      </c>
      <c r="C186">
        <v>1971</v>
      </c>
      <c r="D186">
        <v>4.3056236209999996</v>
      </c>
      <c r="E186">
        <v>-6.0060803409999997</v>
      </c>
      <c r="F186">
        <v>-0.43941353999999999</v>
      </c>
      <c r="G186">
        <v>-9.2093938499999997</v>
      </c>
    </row>
    <row r="187" spans="1:7">
      <c r="A187" t="s">
        <v>981</v>
      </c>
      <c r="B187">
        <v>10</v>
      </c>
      <c r="C187">
        <v>1972</v>
      </c>
      <c r="D187">
        <v>4.2229757000000001</v>
      </c>
      <c r="E187">
        <v>-5.9346941720000004</v>
      </c>
      <c r="F187">
        <v>-0.52100093700000005</v>
      </c>
      <c r="G187">
        <v>-9.0541391739999995</v>
      </c>
    </row>
    <row r="188" spans="1:7">
      <c r="A188" t="s">
        <v>981</v>
      </c>
      <c r="B188">
        <v>10</v>
      </c>
      <c r="C188">
        <v>1973</v>
      </c>
      <c r="D188">
        <v>4.0938837330000002</v>
      </c>
      <c r="E188">
        <v>-5.8358692550000004</v>
      </c>
      <c r="F188">
        <v>-0.462707386</v>
      </c>
      <c r="G188">
        <v>-8.9242695320000003</v>
      </c>
    </row>
    <row r="189" spans="1:7">
      <c r="A189" t="s">
        <v>981</v>
      </c>
      <c r="B189">
        <v>10</v>
      </c>
      <c r="C189">
        <v>1974</v>
      </c>
      <c r="D189">
        <v>4.0079639010000001</v>
      </c>
      <c r="E189">
        <v>-5.8525533410000001</v>
      </c>
      <c r="F189">
        <v>-0.190906362</v>
      </c>
      <c r="G189">
        <v>-8.8465196329999998</v>
      </c>
    </row>
    <row r="190" spans="1:7">
      <c r="A190" t="s">
        <v>981</v>
      </c>
      <c r="B190">
        <v>10</v>
      </c>
      <c r="C190">
        <v>1975</v>
      </c>
      <c r="D190">
        <v>3.9959844929999999</v>
      </c>
      <c r="E190">
        <v>-5.8517058410000002</v>
      </c>
      <c r="F190">
        <v>-0.15948473399999999</v>
      </c>
      <c r="G190">
        <v>-8.7751752100000004</v>
      </c>
    </row>
    <row r="191" spans="1:7">
      <c r="A191" t="s">
        <v>981</v>
      </c>
      <c r="B191">
        <v>10</v>
      </c>
      <c r="C191">
        <v>1976</v>
      </c>
      <c r="D191">
        <v>3.988162</v>
      </c>
      <c r="E191">
        <v>-5.8004281960000004</v>
      </c>
      <c r="F191">
        <v>-0.207265591</v>
      </c>
      <c r="G191">
        <v>-8.7164165590000007</v>
      </c>
    </row>
    <row r="192" spans="1:7">
      <c r="A192" t="s">
        <v>981</v>
      </c>
      <c r="B192">
        <v>10</v>
      </c>
      <c r="C192">
        <v>1977</v>
      </c>
      <c r="D192">
        <v>3.9646719109999999</v>
      </c>
      <c r="E192">
        <v>-5.7568563040000003</v>
      </c>
      <c r="F192">
        <v>-0.21904446799999999</v>
      </c>
      <c r="G192">
        <v>-8.6555289599999998</v>
      </c>
    </row>
    <row r="193" spans="1:7">
      <c r="A193" t="s">
        <v>981</v>
      </c>
      <c r="B193">
        <v>10</v>
      </c>
      <c r="C193">
        <v>1978</v>
      </c>
      <c r="D193">
        <v>3.9487463869999999</v>
      </c>
      <c r="E193">
        <v>-5.7088449929999996</v>
      </c>
      <c r="F193">
        <v>-0.28707638000000002</v>
      </c>
      <c r="G193">
        <v>-8.5940323930000009</v>
      </c>
    </row>
    <row r="194" spans="1:7">
      <c r="A194" t="s">
        <v>982</v>
      </c>
      <c r="B194">
        <v>11</v>
      </c>
      <c r="C194">
        <v>1960</v>
      </c>
      <c r="D194">
        <v>4.6462680049999996</v>
      </c>
      <c r="E194">
        <v>-6.2163645169999997</v>
      </c>
      <c r="F194">
        <v>-0.20148480399999999</v>
      </c>
      <c r="G194">
        <v>-9.9984493610000005</v>
      </c>
    </row>
    <row r="195" spans="1:7">
      <c r="A195" t="s">
        <v>982</v>
      </c>
      <c r="B195">
        <v>11</v>
      </c>
      <c r="C195">
        <v>1961</v>
      </c>
      <c r="D195">
        <v>4.5598399379999996</v>
      </c>
      <c r="E195">
        <v>-6.2081574310000001</v>
      </c>
      <c r="F195">
        <v>-0.21599264600000001</v>
      </c>
      <c r="G195">
        <v>-9.8467110370000004</v>
      </c>
    </row>
    <row r="196" spans="1:7">
      <c r="A196" t="s">
        <v>982</v>
      </c>
      <c r="B196">
        <v>11</v>
      </c>
      <c r="C196">
        <v>1962</v>
      </c>
      <c r="D196">
        <v>4.4717170680000002</v>
      </c>
      <c r="E196">
        <v>-6.1806137640000003</v>
      </c>
      <c r="F196">
        <v>-0.25968008100000001</v>
      </c>
      <c r="G196">
        <v>-9.6905655549999992</v>
      </c>
    </row>
    <row r="197" spans="1:7">
      <c r="A197" t="s">
        <v>982</v>
      </c>
      <c r="B197">
        <v>11</v>
      </c>
      <c r="C197">
        <v>1963</v>
      </c>
      <c r="D197">
        <v>4.3776869779999998</v>
      </c>
      <c r="E197">
        <v>-6.1625619880000002</v>
      </c>
      <c r="F197">
        <v>-0.29718661200000002</v>
      </c>
      <c r="G197">
        <v>-9.5340291690000001</v>
      </c>
    </row>
    <row r="198" spans="1:7">
      <c r="A198" t="s">
        <v>982</v>
      </c>
      <c r="B198">
        <v>11</v>
      </c>
      <c r="C198">
        <v>1964</v>
      </c>
      <c r="D198">
        <v>4.3195633899999999</v>
      </c>
      <c r="E198">
        <v>-6.0899147879999997</v>
      </c>
      <c r="F198">
        <v>-0.36929389400000001</v>
      </c>
      <c r="G198">
        <v>-9.3461119349999997</v>
      </c>
    </row>
    <row r="199" spans="1:7">
      <c r="A199" t="s">
        <v>982</v>
      </c>
      <c r="B199">
        <v>11</v>
      </c>
      <c r="C199">
        <v>1965</v>
      </c>
      <c r="D199">
        <v>4.2330015760000004</v>
      </c>
      <c r="E199">
        <v>-6.0512609939999997</v>
      </c>
      <c r="F199">
        <v>-0.34197503499999998</v>
      </c>
      <c r="G199">
        <v>-9.1751648830000008</v>
      </c>
    </row>
    <row r="200" spans="1:7">
      <c r="A200" t="s">
        <v>982</v>
      </c>
      <c r="B200">
        <v>11</v>
      </c>
      <c r="C200">
        <v>1966</v>
      </c>
      <c r="D200">
        <v>4.1680165130000004</v>
      </c>
      <c r="E200">
        <v>-6.0388614399999998</v>
      </c>
      <c r="F200">
        <v>-0.348090075</v>
      </c>
      <c r="G200">
        <v>-9.0234812390000005</v>
      </c>
    </row>
    <row r="201" spans="1:7">
      <c r="A201" t="s">
        <v>982</v>
      </c>
      <c r="B201">
        <v>11</v>
      </c>
      <c r="C201">
        <v>1967</v>
      </c>
      <c r="D201">
        <v>4.1191549949999997</v>
      </c>
      <c r="E201">
        <v>-5.9997247299999996</v>
      </c>
      <c r="F201">
        <v>-0.312320188</v>
      </c>
      <c r="G201">
        <v>-8.8962250419999993</v>
      </c>
    </row>
    <row r="202" spans="1:7">
      <c r="A202" t="s">
        <v>982</v>
      </c>
      <c r="B202">
        <v>11</v>
      </c>
      <c r="C202">
        <v>1968</v>
      </c>
      <c r="D202">
        <v>4.0707346969999998</v>
      </c>
      <c r="E202">
        <v>-5.9466197149999998</v>
      </c>
      <c r="F202">
        <v>-0.44450430800000001</v>
      </c>
      <c r="G202">
        <v>-8.7585695109999993</v>
      </c>
    </row>
    <row r="203" spans="1:7">
      <c r="A203" t="s">
        <v>982</v>
      </c>
      <c r="B203">
        <v>11</v>
      </c>
      <c r="C203">
        <v>1969</v>
      </c>
      <c r="D203">
        <v>3.9876893390000001</v>
      </c>
      <c r="E203">
        <v>-5.8805556729999999</v>
      </c>
      <c r="F203">
        <v>-0.41694955</v>
      </c>
      <c r="G203">
        <v>-8.6341024829999995</v>
      </c>
    </row>
    <row r="204" spans="1:7">
      <c r="A204" t="s">
        <v>982</v>
      </c>
      <c r="B204">
        <v>11</v>
      </c>
      <c r="C204">
        <v>1970</v>
      </c>
      <c r="D204">
        <v>3.9564078760000001</v>
      </c>
      <c r="E204">
        <v>-5.8385766910000001</v>
      </c>
      <c r="F204">
        <v>-0.39954543799999997</v>
      </c>
      <c r="G204">
        <v>-8.5194982249999995</v>
      </c>
    </row>
    <row r="205" spans="1:7">
      <c r="A205" t="s">
        <v>982</v>
      </c>
      <c r="B205">
        <v>11</v>
      </c>
      <c r="C205">
        <v>1971</v>
      </c>
      <c r="D205">
        <v>3.9478037430000001</v>
      </c>
      <c r="E205">
        <v>-5.8130409390000004</v>
      </c>
      <c r="F205">
        <v>-0.43393029</v>
      </c>
      <c r="G205">
        <v>-8.4575948289999996</v>
      </c>
    </row>
    <row r="206" spans="1:7">
      <c r="A206" t="s">
        <v>982</v>
      </c>
      <c r="B206">
        <v>11</v>
      </c>
      <c r="C206">
        <v>1972</v>
      </c>
      <c r="D206">
        <v>3.915296331</v>
      </c>
      <c r="E206">
        <v>-5.7854473400000002</v>
      </c>
      <c r="F206">
        <v>-0.31903240399999999</v>
      </c>
      <c r="G206">
        <v>-8.3826308229999995</v>
      </c>
    </row>
    <row r="207" spans="1:7">
      <c r="A207" t="s">
        <v>982</v>
      </c>
      <c r="B207">
        <v>11</v>
      </c>
      <c r="C207">
        <v>1973</v>
      </c>
      <c r="D207">
        <v>3.8804785129999999</v>
      </c>
      <c r="E207">
        <v>-5.7472869620000004</v>
      </c>
      <c r="F207">
        <v>-0.42728192599999998</v>
      </c>
      <c r="G207">
        <v>-8.3067066149999995</v>
      </c>
    </row>
    <row r="208" spans="1:7">
      <c r="A208" t="s">
        <v>982</v>
      </c>
      <c r="B208">
        <v>11</v>
      </c>
      <c r="C208">
        <v>1974</v>
      </c>
      <c r="D208">
        <v>3.711383723</v>
      </c>
      <c r="E208">
        <v>-5.729251391</v>
      </c>
      <c r="F208">
        <v>-0.35253684699999999</v>
      </c>
      <c r="G208">
        <v>-8.2504938439999993</v>
      </c>
    </row>
    <row r="209" spans="1:7">
      <c r="A209" t="s">
        <v>982</v>
      </c>
      <c r="B209">
        <v>11</v>
      </c>
      <c r="C209">
        <v>1975</v>
      </c>
      <c r="D209">
        <v>3.7184662639999999</v>
      </c>
      <c r="E209">
        <v>-5.7430144150000002</v>
      </c>
      <c r="F209">
        <v>-0.43426177900000001</v>
      </c>
      <c r="G209">
        <v>-8.1832982760000004</v>
      </c>
    </row>
    <row r="210" spans="1:7">
      <c r="A210" t="s">
        <v>982</v>
      </c>
      <c r="B210">
        <v>11</v>
      </c>
      <c r="C210">
        <v>1976</v>
      </c>
      <c r="D210">
        <v>3.7836345680000001</v>
      </c>
      <c r="E210">
        <v>-5.7038679270000001</v>
      </c>
      <c r="F210">
        <v>-0.429083928</v>
      </c>
      <c r="G210">
        <v>-8.2024679040000006</v>
      </c>
    </row>
    <row r="211" spans="1:7">
      <c r="A211" t="s">
        <v>982</v>
      </c>
      <c r="B211">
        <v>11</v>
      </c>
      <c r="C211">
        <v>1977</v>
      </c>
      <c r="D211">
        <v>3.7766816580000002</v>
      </c>
      <c r="E211">
        <v>-5.6867308999999997</v>
      </c>
      <c r="F211">
        <v>-0.46474195299999999</v>
      </c>
      <c r="G211">
        <v>-8.1625415159999992</v>
      </c>
    </row>
    <row r="212" spans="1:7">
      <c r="A212" t="s">
        <v>982</v>
      </c>
      <c r="B212">
        <v>11</v>
      </c>
      <c r="C212">
        <v>1978</v>
      </c>
      <c r="D212">
        <v>3.8825941949999998</v>
      </c>
      <c r="E212">
        <v>-5.6606634079999996</v>
      </c>
      <c r="F212">
        <v>-0.55791458699999996</v>
      </c>
      <c r="G212">
        <v>-8.1560080920000004</v>
      </c>
    </row>
    <row r="213" spans="1:7">
      <c r="A213" t="s">
        <v>983</v>
      </c>
      <c r="B213">
        <v>12</v>
      </c>
      <c r="C213">
        <v>1960</v>
      </c>
      <c r="D213">
        <v>4.4350406700000002</v>
      </c>
      <c r="E213">
        <v>-6.0903561450000003</v>
      </c>
      <c r="F213">
        <v>-0.13968957400000001</v>
      </c>
      <c r="G213">
        <v>-9.675052247</v>
      </c>
    </row>
    <row r="214" spans="1:7">
      <c r="A214" t="s">
        <v>983</v>
      </c>
      <c r="B214">
        <v>12</v>
      </c>
      <c r="C214">
        <v>1961</v>
      </c>
      <c r="D214">
        <v>4.3327192500000002</v>
      </c>
      <c r="E214">
        <v>-6.0371566310000002</v>
      </c>
      <c r="F214">
        <v>-0.157905136</v>
      </c>
      <c r="G214">
        <v>-9.4715972169999993</v>
      </c>
    </row>
    <row r="215" spans="1:7">
      <c r="A215" t="s">
        <v>983</v>
      </c>
      <c r="B215">
        <v>12</v>
      </c>
      <c r="C215">
        <v>1962</v>
      </c>
      <c r="D215">
        <v>4.2342411029999996</v>
      </c>
      <c r="E215">
        <v>-6.0128969149999998</v>
      </c>
      <c r="F215">
        <v>-0.19908809399999999</v>
      </c>
      <c r="G215">
        <v>-9.3295671529999993</v>
      </c>
    </row>
    <row r="216" spans="1:7">
      <c r="A216" t="s">
        <v>983</v>
      </c>
      <c r="B216">
        <v>12</v>
      </c>
      <c r="C216">
        <v>1963</v>
      </c>
      <c r="D216">
        <v>4.2161893419999998</v>
      </c>
      <c r="E216">
        <v>-5.9664946639999998</v>
      </c>
      <c r="F216">
        <v>-0.23263318199999999</v>
      </c>
      <c r="G216">
        <v>-9.2177305789999995</v>
      </c>
    </row>
    <row r="217" spans="1:7">
      <c r="A217" t="s">
        <v>983</v>
      </c>
      <c r="B217">
        <v>12</v>
      </c>
      <c r="C217">
        <v>1964</v>
      </c>
      <c r="D217">
        <v>4.1643518759999996</v>
      </c>
      <c r="E217">
        <v>-5.9279089059999999</v>
      </c>
      <c r="F217">
        <v>-0.26374730600000001</v>
      </c>
      <c r="G217">
        <v>-9.0915351789999992</v>
      </c>
    </row>
    <row r="218" spans="1:7">
      <c r="A218" t="s">
        <v>983</v>
      </c>
      <c r="B218">
        <v>12</v>
      </c>
      <c r="C218">
        <v>1965</v>
      </c>
      <c r="D218">
        <v>4.131633441</v>
      </c>
      <c r="E218">
        <v>-5.8815671109999998</v>
      </c>
      <c r="F218">
        <v>-0.31593124099999997</v>
      </c>
      <c r="G218">
        <v>-8.988002947</v>
      </c>
    </row>
    <row r="219" spans="1:7">
      <c r="A219" t="s">
        <v>983</v>
      </c>
      <c r="B219">
        <v>12</v>
      </c>
      <c r="C219">
        <v>1966</v>
      </c>
      <c r="D219">
        <v>4.0846073870000001</v>
      </c>
      <c r="E219">
        <v>-5.8512228249999998</v>
      </c>
      <c r="F219">
        <v>-0.25011726499999998</v>
      </c>
      <c r="G219">
        <v>-8.8919593129999992</v>
      </c>
    </row>
    <row r="220" spans="1:7">
      <c r="A220" t="s">
        <v>983</v>
      </c>
      <c r="B220">
        <v>12</v>
      </c>
      <c r="C220">
        <v>1967</v>
      </c>
      <c r="D220">
        <v>4.0643140610000001</v>
      </c>
      <c r="E220">
        <v>-5.8055598340000003</v>
      </c>
      <c r="F220">
        <v>-0.26555762500000002</v>
      </c>
      <c r="G220">
        <v>-8.8026760110000009</v>
      </c>
    </row>
    <row r="221" spans="1:7">
      <c r="A221" t="s">
        <v>983</v>
      </c>
      <c r="B221">
        <v>12</v>
      </c>
      <c r="C221">
        <v>1968</v>
      </c>
      <c r="D221">
        <v>4.1038643229999998</v>
      </c>
      <c r="E221">
        <v>-5.773494532</v>
      </c>
      <c r="F221">
        <v>-0.30036774700000002</v>
      </c>
      <c r="G221">
        <v>-8.8011291249999992</v>
      </c>
    </row>
    <row r="222" spans="1:7">
      <c r="A222" t="s">
        <v>983</v>
      </c>
      <c r="B222">
        <v>12</v>
      </c>
      <c r="C222">
        <v>1969</v>
      </c>
      <c r="D222">
        <v>4.0868228049999997</v>
      </c>
      <c r="E222">
        <v>-5.7353187630000004</v>
      </c>
      <c r="F222">
        <v>-0.33823045000000002</v>
      </c>
      <c r="G222">
        <v>-8.6945930960000002</v>
      </c>
    </row>
    <row r="223" spans="1:7">
      <c r="A223" t="s">
        <v>983</v>
      </c>
      <c r="B223">
        <v>12</v>
      </c>
      <c r="C223">
        <v>1970</v>
      </c>
      <c r="D223">
        <v>4.0888057160000004</v>
      </c>
      <c r="E223">
        <v>-5.7411438500000003</v>
      </c>
      <c r="F223">
        <v>-0.390725604</v>
      </c>
      <c r="G223">
        <v>-8.6286159859999998</v>
      </c>
    </row>
    <row r="224" spans="1:7">
      <c r="A224" t="s">
        <v>983</v>
      </c>
      <c r="B224">
        <v>12</v>
      </c>
      <c r="C224">
        <v>1971</v>
      </c>
      <c r="D224">
        <v>4.0789317460000003</v>
      </c>
      <c r="E224">
        <v>-5.6994428959999999</v>
      </c>
      <c r="F224">
        <v>-0.301272235</v>
      </c>
      <c r="G224">
        <v>-8.5684864859999994</v>
      </c>
    </row>
    <row r="225" spans="1:7">
      <c r="A225" t="s">
        <v>983</v>
      </c>
      <c r="B225">
        <v>12</v>
      </c>
      <c r="C225">
        <v>1972</v>
      </c>
      <c r="D225">
        <v>4.0772574309999996</v>
      </c>
      <c r="E225">
        <v>-5.6580127769999997</v>
      </c>
      <c r="F225">
        <v>-0.26023925399999998</v>
      </c>
      <c r="G225">
        <v>-8.5143938509999995</v>
      </c>
    </row>
    <row r="226" spans="1:7">
      <c r="A226" t="s">
        <v>983</v>
      </c>
      <c r="B226">
        <v>12</v>
      </c>
      <c r="C226">
        <v>1973</v>
      </c>
      <c r="D226">
        <v>4.0613489569999999</v>
      </c>
      <c r="E226">
        <v>-5.6231709170000004</v>
      </c>
      <c r="F226">
        <v>-0.33880765000000002</v>
      </c>
      <c r="G226">
        <v>-8.4596551990000002</v>
      </c>
    </row>
    <row r="227" spans="1:7">
      <c r="A227" t="s">
        <v>983</v>
      </c>
      <c r="B227">
        <v>12</v>
      </c>
      <c r="C227">
        <v>1974</v>
      </c>
      <c r="D227">
        <v>3.9603309709999999</v>
      </c>
      <c r="E227">
        <v>-5.5783826669999996</v>
      </c>
      <c r="F227">
        <v>-0.15100924199999999</v>
      </c>
      <c r="G227">
        <v>-8.4064438540000008</v>
      </c>
    </row>
    <row r="228" spans="1:7">
      <c r="A228" t="s">
        <v>983</v>
      </c>
      <c r="B228">
        <v>12</v>
      </c>
      <c r="C228">
        <v>1975</v>
      </c>
      <c r="D228">
        <v>3.9960249669999999</v>
      </c>
      <c r="E228">
        <v>-5.551885188</v>
      </c>
      <c r="F228">
        <v>-0.32726756800000001</v>
      </c>
      <c r="G228">
        <v>-8.3428897180000003</v>
      </c>
    </row>
    <row r="229" spans="1:7">
      <c r="A229" t="s">
        <v>983</v>
      </c>
      <c r="B229">
        <v>12</v>
      </c>
      <c r="C229">
        <v>1976</v>
      </c>
      <c r="D229">
        <v>3.9782097279999999</v>
      </c>
      <c r="E229">
        <v>-5.497635496</v>
      </c>
      <c r="F229">
        <v>-0.35308751999999999</v>
      </c>
      <c r="G229">
        <v>-8.2772922250000001</v>
      </c>
    </row>
    <row r="230" spans="1:7">
      <c r="A230" t="s">
        <v>983</v>
      </c>
      <c r="B230">
        <v>12</v>
      </c>
      <c r="C230">
        <v>1977</v>
      </c>
      <c r="D230">
        <v>3.9885155370000001</v>
      </c>
      <c r="E230">
        <v>-5.458066412</v>
      </c>
      <c r="F230">
        <v>-0.38255762100000001</v>
      </c>
      <c r="G230">
        <v>-8.202841244</v>
      </c>
    </row>
    <row r="231" spans="1:7">
      <c r="A231" t="s">
        <v>983</v>
      </c>
      <c r="B231">
        <v>12</v>
      </c>
      <c r="C231">
        <v>1978</v>
      </c>
      <c r="D231">
        <v>4.0024867129999997</v>
      </c>
      <c r="E231">
        <v>-5.4232890539999996</v>
      </c>
      <c r="F231">
        <v>-0.307659346</v>
      </c>
      <c r="G231">
        <v>-8.1717884139999999</v>
      </c>
    </row>
    <row r="232" spans="1:7">
      <c r="A232" t="s">
        <v>984</v>
      </c>
      <c r="B232">
        <v>13</v>
      </c>
      <c r="C232">
        <v>1960</v>
      </c>
      <c r="D232">
        <v>4.749409172</v>
      </c>
      <c r="E232">
        <v>-6.1660853309999997</v>
      </c>
      <c r="F232">
        <v>1.1253107019999999</v>
      </c>
      <c r="G232">
        <v>-11.588402609999999</v>
      </c>
    </row>
    <row r="233" spans="1:7">
      <c r="A233" t="s">
        <v>984</v>
      </c>
      <c r="B233">
        <v>13</v>
      </c>
      <c r="C233">
        <v>1961</v>
      </c>
      <c r="D233">
        <v>4.589239364</v>
      </c>
      <c r="E233">
        <v>-6.057794114</v>
      </c>
      <c r="F233">
        <v>1.1095623450000001</v>
      </c>
      <c r="G233">
        <v>-11.384046619999999</v>
      </c>
    </row>
    <row r="234" spans="1:7">
      <c r="A234" t="s">
        <v>984</v>
      </c>
      <c r="B234">
        <v>13</v>
      </c>
      <c r="C234">
        <v>1962</v>
      </c>
      <c r="D234">
        <v>4.4290876289999996</v>
      </c>
      <c r="E234">
        <v>-5.9804758869999999</v>
      </c>
      <c r="F234">
        <v>1.0570039369999999</v>
      </c>
      <c r="G234">
        <v>-11.15777188</v>
      </c>
    </row>
    <row r="235" spans="1:7">
      <c r="A235" t="s">
        <v>984</v>
      </c>
      <c r="B235">
        <v>13</v>
      </c>
      <c r="C235">
        <v>1963</v>
      </c>
      <c r="D235">
        <v>4.3464972140000002</v>
      </c>
      <c r="E235">
        <v>-5.9051186299999996</v>
      </c>
      <c r="F235">
        <v>0.97683534000000005</v>
      </c>
      <c r="G235">
        <v>-10.98452492</v>
      </c>
    </row>
    <row r="236" spans="1:7">
      <c r="A236" t="s">
        <v>984</v>
      </c>
      <c r="B236">
        <v>13</v>
      </c>
      <c r="C236">
        <v>1964</v>
      </c>
      <c r="D236">
        <v>4.3005770070000002</v>
      </c>
      <c r="E236">
        <v>-5.8585295239999997</v>
      </c>
      <c r="F236">
        <v>0.91532254000000002</v>
      </c>
      <c r="G236">
        <v>-10.787926669999999</v>
      </c>
    </row>
    <row r="237" spans="1:7">
      <c r="A237" t="s">
        <v>984</v>
      </c>
      <c r="B237">
        <v>13</v>
      </c>
      <c r="C237">
        <v>1965</v>
      </c>
      <c r="D237">
        <v>4.2172089789999996</v>
      </c>
      <c r="E237">
        <v>-5.8006451370000001</v>
      </c>
      <c r="F237">
        <v>0.81666054600000004</v>
      </c>
      <c r="G237">
        <v>-10.58520034</v>
      </c>
    </row>
    <row r="238" spans="1:7">
      <c r="A238" t="s">
        <v>984</v>
      </c>
      <c r="B238">
        <v>13</v>
      </c>
      <c r="C238">
        <v>1966</v>
      </c>
      <c r="D238">
        <v>4.1137809110000001</v>
      </c>
      <c r="E238">
        <v>-5.7350986820000003</v>
      </c>
      <c r="F238">
        <v>0.75671750900000001</v>
      </c>
      <c r="G238">
        <v>-10.32972311</v>
      </c>
    </row>
    <row r="239" spans="1:7">
      <c r="A239" t="s">
        <v>984</v>
      </c>
      <c r="B239">
        <v>13</v>
      </c>
      <c r="C239">
        <v>1967</v>
      </c>
      <c r="D239">
        <v>4.0863224589999998</v>
      </c>
      <c r="E239">
        <v>-5.7055940539999996</v>
      </c>
      <c r="F239">
        <v>0.74130810700000005</v>
      </c>
      <c r="G239">
        <v>-10.10298289</v>
      </c>
    </row>
    <row r="240" spans="1:7">
      <c r="A240" t="s">
        <v>984</v>
      </c>
      <c r="B240">
        <v>13</v>
      </c>
      <c r="C240">
        <v>1968</v>
      </c>
      <c r="D240">
        <v>4.0442530620000001</v>
      </c>
      <c r="E240">
        <v>-5.6573265949999998</v>
      </c>
      <c r="F240">
        <v>0.70386452899999996</v>
      </c>
      <c r="G240">
        <v>-9.9114727219999992</v>
      </c>
    </row>
    <row r="241" spans="1:7">
      <c r="A241" t="s">
        <v>984</v>
      </c>
      <c r="B241">
        <v>13</v>
      </c>
      <c r="C241">
        <v>1969</v>
      </c>
      <c r="D241">
        <v>3.9941031169999999</v>
      </c>
      <c r="E241">
        <v>-5.60104588</v>
      </c>
      <c r="F241">
        <v>0.66948950100000004</v>
      </c>
      <c r="G241">
        <v>-9.7204253509999994</v>
      </c>
    </row>
    <row r="242" spans="1:7">
      <c r="A242" t="s">
        <v>984</v>
      </c>
      <c r="B242">
        <v>13</v>
      </c>
      <c r="C242">
        <v>1970</v>
      </c>
      <c r="D242">
        <v>3.9660459600000002</v>
      </c>
      <c r="E242">
        <v>-5.5532474489999997</v>
      </c>
      <c r="F242">
        <v>0.61217208199999995</v>
      </c>
      <c r="G242">
        <v>-9.5573599369999993</v>
      </c>
    </row>
    <row r="243" spans="1:7">
      <c r="A243" t="s">
        <v>984</v>
      </c>
      <c r="B243">
        <v>13</v>
      </c>
      <c r="C243">
        <v>1971</v>
      </c>
      <c r="D243">
        <v>3.907344213</v>
      </c>
      <c r="E243">
        <v>-5.5155448900000001</v>
      </c>
      <c r="F243">
        <v>0.60699563199999995</v>
      </c>
      <c r="G243">
        <v>-9.4099561620000003</v>
      </c>
    </row>
    <row r="244" spans="1:7">
      <c r="A244" t="s">
        <v>984</v>
      </c>
      <c r="B244">
        <v>13</v>
      </c>
      <c r="C244">
        <v>1972</v>
      </c>
      <c r="D244">
        <v>3.891224491</v>
      </c>
      <c r="E244">
        <v>-5.458712802</v>
      </c>
      <c r="F244">
        <v>0.53716843599999997</v>
      </c>
      <c r="G244">
        <v>-9.2704046130000002</v>
      </c>
    </row>
    <row r="245" spans="1:7">
      <c r="A245" t="s">
        <v>984</v>
      </c>
      <c r="B245">
        <v>13</v>
      </c>
      <c r="C245">
        <v>1973</v>
      </c>
      <c r="D245">
        <v>3.9128115449999998</v>
      </c>
      <c r="E245">
        <v>-5.3737161990000004</v>
      </c>
      <c r="F245">
        <v>0.433771664</v>
      </c>
      <c r="G245">
        <v>-9.1266271620000001</v>
      </c>
    </row>
    <row r="246" spans="1:7">
      <c r="A246" t="s">
        <v>984</v>
      </c>
      <c r="B246">
        <v>13</v>
      </c>
      <c r="C246">
        <v>1974</v>
      </c>
      <c r="D246">
        <v>3.7685651459999998</v>
      </c>
      <c r="E246">
        <v>-5.3296048779999996</v>
      </c>
      <c r="F246">
        <v>0.52492095900000002</v>
      </c>
      <c r="G246">
        <v>-9.0133031809999995</v>
      </c>
    </row>
    <row r="247" spans="1:7">
      <c r="A247" t="s">
        <v>984</v>
      </c>
      <c r="B247">
        <v>13</v>
      </c>
      <c r="C247">
        <v>1975</v>
      </c>
      <c r="D247">
        <v>3.7524488659999999</v>
      </c>
      <c r="E247">
        <v>-5.3309258030000004</v>
      </c>
      <c r="F247">
        <v>0.62955544600000002</v>
      </c>
      <c r="G247">
        <v>-8.9160209679999998</v>
      </c>
    </row>
    <row r="248" spans="1:7">
      <c r="A248" t="s">
        <v>984</v>
      </c>
      <c r="B248">
        <v>13</v>
      </c>
      <c r="C248">
        <v>1976</v>
      </c>
      <c r="D248">
        <v>3.7108746109999999</v>
      </c>
      <c r="E248">
        <v>-5.3128549410000003</v>
      </c>
      <c r="F248">
        <v>0.68385408599999997</v>
      </c>
      <c r="G248">
        <v>-8.8206353009999994</v>
      </c>
    </row>
    <row r="249" spans="1:7">
      <c r="A249" t="s">
        <v>984</v>
      </c>
      <c r="B249">
        <v>13</v>
      </c>
      <c r="C249">
        <v>1977</v>
      </c>
      <c r="D249">
        <v>3.6507346969999999</v>
      </c>
      <c r="E249">
        <v>-5.2990891810000003</v>
      </c>
      <c r="F249">
        <v>0.52627166800000003</v>
      </c>
      <c r="G249">
        <v>-8.7272182699999998</v>
      </c>
    </row>
    <row r="250" spans="1:7">
      <c r="A250" t="s">
        <v>984</v>
      </c>
      <c r="B250">
        <v>13</v>
      </c>
      <c r="C250">
        <v>1978</v>
      </c>
      <c r="D250">
        <v>3.620443871</v>
      </c>
      <c r="E250">
        <v>-5.2859592009999998</v>
      </c>
      <c r="F250">
        <v>0.62141374000000005</v>
      </c>
      <c r="G250">
        <v>-8.6346966839999997</v>
      </c>
    </row>
    <row r="251" spans="1:7">
      <c r="A251" t="s">
        <v>985</v>
      </c>
      <c r="B251">
        <v>14</v>
      </c>
      <c r="C251">
        <v>1960</v>
      </c>
      <c r="D251">
        <v>4.0630100359999997</v>
      </c>
      <c r="E251">
        <v>-8.0725235299999998</v>
      </c>
      <c r="F251">
        <v>-2.5204158799999998</v>
      </c>
      <c r="G251">
        <v>-8.7426790560000001</v>
      </c>
    </row>
    <row r="252" spans="1:7">
      <c r="A252" t="s">
        <v>985</v>
      </c>
      <c r="B252">
        <v>14</v>
      </c>
      <c r="C252">
        <v>1961</v>
      </c>
      <c r="D252">
        <v>4.061869959</v>
      </c>
      <c r="E252">
        <v>-8.0195879679999997</v>
      </c>
      <c r="F252">
        <v>-2.5714834</v>
      </c>
      <c r="G252">
        <v>-8.6598849530000006</v>
      </c>
    </row>
    <row r="253" spans="1:7">
      <c r="A253" t="s">
        <v>985</v>
      </c>
      <c r="B253">
        <v>14</v>
      </c>
      <c r="C253">
        <v>1962</v>
      </c>
      <c r="D253">
        <v>4.0064390159999999</v>
      </c>
      <c r="E253">
        <v>-7.9972487470000004</v>
      </c>
      <c r="F253">
        <v>-2.5344815820000002</v>
      </c>
      <c r="G253">
        <v>-8.5774211709999992</v>
      </c>
    </row>
    <row r="254" spans="1:7">
      <c r="A254" t="s">
        <v>985</v>
      </c>
      <c r="B254">
        <v>14</v>
      </c>
      <c r="C254">
        <v>1963</v>
      </c>
      <c r="D254">
        <v>4.0027656299999999</v>
      </c>
      <c r="E254">
        <v>-7.9667475300000001</v>
      </c>
      <c r="F254">
        <v>-2.6051122379999998</v>
      </c>
      <c r="G254">
        <v>-8.4943112779999996</v>
      </c>
    </row>
    <row r="255" spans="1:7">
      <c r="A255" t="s">
        <v>985</v>
      </c>
      <c r="B255">
        <v>14</v>
      </c>
      <c r="C255">
        <v>1964</v>
      </c>
      <c r="D255">
        <v>4.024858515</v>
      </c>
      <c r="E255">
        <v>-7.8975824030000004</v>
      </c>
      <c r="F255">
        <v>-2.6580162619999999</v>
      </c>
      <c r="G255">
        <v>-8.4334722590000002</v>
      </c>
    </row>
    <row r="256" spans="1:7">
      <c r="A256" t="s">
        <v>985</v>
      </c>
      <c r="B256">
        <v>14</v>
      </c>
      <c r="C256">
        <v>1965</v>
      </c>
      <c r="D256">
        <v>4.0154631060000003</v>
      </c>
      <c r="E256">
        <v>-7.8748052099999999</v>
      </c>
      <c r="F256">
        <v>-2.6447679040000001</v>
      </c>
      <c r="G256">
        <v>-8.3694912779999999</v>
      </c>
    </row>
    <row r="257" spans="1:7">
      <c r="A257" t="s">
        <v>985</v>
      </c>
      <c r="B257">
        <v>14</v>
      </c>
      <c r="C257">
        <v>1966</v>
      </c>
      <c r="D257">
        <v>4.0025573740000002</v>
      </c>
      <c r="E257">
        <v>-7.8607973690000001</v>
      </c>
      <c r="F257">
        <v>-2.6390145980000002</v>
      </c>
      <c r="G257">
        <v>-8.3268565399999996</v>
      </c>
    </row>
    <row r="258" spans="1:7">
      <c r="A258" t="s">
        <v>985</v>
      </c>
      <c r="B258">
        <v>14</v>
      </c>
      <c r="C258">
        <v>1967</v>
      </c>
      <c r="D258">
        <v>3.9973460479999998</v>
      </c>
      <c r="E258">
        <v>-7.8454629020000004</v>
      </c>
      <c r="F258">
        <v>-2.6560976219999999</v>
      </c>
      <c r="G258">
        <v>-8.2894845799999999</v>
      </c>
    </row>
    <row r="259" spans="1:7">
      <c r="A259" t="s">
        <v>985</v>
      </c>
      <c r="B259">
        <v>14</v>
      </c>
      <c r="C259">
        <v>1968</v>
      </c>
      <c r="D259">
        <v>3.9975847569999998</v>
      </c>
      <c r="E259">
        <v>-7.8139869749999997</v>
      </c>
      <c r="F259">
        <v>-2.6791866249999998</v>
      </c>
      <c r="G259">
        <v>-8.2482306730000001</v>
      </c>
    </row>
    <row r="260" spans="1:7">
      <c r="A260" t="s">
        <v>985</v>
      </c>
      <c r="B260">
        <v>14</v>
      </c>
      <c r="C260">
        <v>1969</v>
      </c>
      <c r="D260">
        <v>3.9917150449999999</v>
      </c>
      <c r="E260">
        <v>-7.7710811450000001</v>
      </c>
      <c r="F260">
        <v>-2.7319041369999999</v>
      </c>
      <c r="G260">
        <v>-8.1974624370000004</v>
      </c>
    </row>
    <row r="261" spans="1:7">
      <c r="A261" t="s">
        <v>985</v>
      </c>
      <c r="B261">
        <v>14</v>
      </c>
      <c r="C261">
        <v>1970</v>
      </c>
      <c r="D261">
        <v>3.9893724719999999</v>
      </c>
      <c r="E261">
        <v>-7.7326101700000001</v>
      </c>
      <c r="F261">
        <v>-2.7335921070000002</v>
      </c>
      <c r="G261">
        <v>-8.1645062890000002</v>
      </c>
    </row>
    <row r="262" spans="1:7">
      <c r="A262" t="s">
        <v>985</v>
      </c>
      <c r="B262">
        <v>14</v>
      </c>
      <c r="C262">
        <v>1971</v>
      </c>
      <c r="D262">
        <v>3.9820618579999998</v>
      </c>
      <c r="E262">
        <v>-7.7601127119999997</v>
      </c>
      <c r="F262">
        <v>-2.7788455359999999</v>
      </c>
      <c r="G262">
        <v>-8.1422297169999993</v>
      </c>
    </row>
    <row r="263" spans="1:7">
      <c r="A263" t="s">
        <v>985</v>
      </c>
      <c r="B263">
        <v>14</v>
      </c>
      <c r="C263">
        <v>1972</v>
      </c>
      <c r="D263">
        <v>3.9800657579999998</v>
      </c>
      <c r="E263">
        <v>-7.7425112409999999</v>
      </c>
      <c r="F263">
        <v>-2.7746753659999999</v>
      </c>
      <c r="G263">
        <v>-8.1031443400000001</v>
      </c>
    </row>
    <row r="264" spans="1:7">
      <c r="A264" t="s">
        <v>985</v>
      </c>
      <c r="B264">
        <v>14</v>
      </c>
      <c r="C264">
        <v>1973</v>
      </c>
      <c r="D264">
        <v>4.0305604060000002</v>
      </c>
      <c r="E264">
        <v>-7.7252985020000002</v>
      </c>
      <c r="F264">
        <v>-2.841428998</v>
      </c>
      <c r="G264">
        <v>-8.0870554469999991</v>
      </c>
    </row>
    <row r="265" spans="1:7">
      <c r="A265" t="s">
        <v>985</v>
      </c>
      <c r="B265">
        <v>14</v>
      </c>
      <c r="C265">
        <v>1974</v>
      </c>
      <c r="D265">
        <v>3.9131591540000001</v>
      </c>
      <c r="E265">
        <v>-7.6895312779999996</v>
      </c>
      <c r="F265">
        <v>-2.7984067690000001</v>
      </c>
      <c r="G265">
        <v>-8.0365993899999992</v>
      </c>
    </row>
    <row r="266" spans="1:7">
      <c r="A266" t="s">
        <v>985</v>
      </c>
      <c r="B266">
        <v>14</v>
      </c>
      <c r="C266">
        <v>1975</v>
      </c>
      <c r="D266">
        <v>3.9738404360000001</v>
      </c>
      <c r="E266">
        <v>-7.6795567389999997</v>
      </c>
      <c r="F266">
        <v>-2.7673146050000001</v>
      </c>
      <c r="G266">
        <v>-7.9942167499999996</v>
      </c>
    </row>
    <row r="267" spans="1:7">
      <c r="A267" t="s">
        <v>985</v>
      </c>
      <c r="B267">
        <v>14</v>
      </c>
      <c r="C267">
        <v>1976</v>
      </c>
      <c r="D267">
        <v>3.9839965049999999</v>
      </c>
      <c r="E267">
        <v>-7.6720430430000004</v>
      </c>
      <c r="F267">
        <v>-2.8229447969999999</v>
      </c>
      <c r="G267">
        <v>-7.9560663700000003</v>
      </c>
    </row>
    <row r="268" spans="1:7">
      <c r="A268" t="s">
        <v>985</v>
      </c>
      <c r="B268">
        <v>14</v>
      </c>
      <c r="C268">
        <v>1977</v>
      </c>
      <c r="D268">
        <v>4.031010931</v>
      </c>
      <c r="E268">
        <v>-7.7073757990000002</v>
      </c>
      <c r="F268">
        <v>-2.8200589599999999</v>
      </c>
      <c r="G268">
        <v>-7.9688022329999999</v>
      </c>
    </row>
    <row r="269" spans="1:7">
      <c r="A269" t="s">
        <v>985</v>
      </c>
      <c r="B269">
        <v>14</v>
      </c>
      <c r="C269">
        <v>1978</v>
      </c>
      <c r="D269">
        <v>4.0673734450000003</v>
      </c>
      <c r="E269">
        <v>-7.6791958899999999</v>
      </c>
      <c r="F269">
        <v>-2.8964967119999998</v>
      </c>
      <c r="G269">
        <v>-7.9719346279999996</v>
      </c>
    </row>
    <row r="270" spans="1:7">
      <c r="A270" t="s">
        <v>986</v>
      </c>
      <c r="B270">
        <v>15</v>
      </c>
      <c r="C270">
        <v>1960</v>
      </c>
      <c r="D270">
        <v>4.3976214929999999</v>
      </c>
      <c r="E270">
        <v>-6.1560744620000003</v>
      </c>
      <c r="F270">
        <v>-0.82321833</v>
      </c>
      <c r="G270">
        <v>-9.2623995810000004</v>
      </c>
    </row>
    <row r="271" spans="1:7">
      <c r="A271" t="s">
        <v>986</v>
      </c>
      <c r="B271">
        <v>15</v>
      </c>
      <c r="C271">
        <v>1961</v>
      </c>
      <c r="D271">
        <v>4.441329648</v>
      </c>
      <c r="E271">
        <v>-6.1116395639999999</v>
      </c>
      <c r="F271">
        <v>-0.86558472600000003</v>
      </c>
      <c r="G271">
        <v>-9.1582286350000004</v>
      </c>
    </row>
    <row r="272" spans="1:7">
      <c r="A272" t="s">
        <v>986</v>
      </c>
      <c r="B272">
        <v>15</v>
      </c>
      <c r="C272">
        <v>1962</v>
      </c>
      <c r="D272">
        <v>4.2871473959999999</v>
      </c>
      <c r="E272">
        <v>-6.0930062219999996</v>
      </c>
      <c r="F272">
        <v>-0.82218509900000003</v>
      </c>
      <c r="G272">
        <v>-9.0461444039999996</v>
      </c>
    </row>
    <row r="273" spans="1:7">
      <c r="A273" t="s">
        <v>986</v>
      </c>
      <c r="B273">
        <v>15</v>
      </c>
      <c r="C273">
        <v>1963</v>
      </c>
      <c r="D273">
        <v>4.3124845289999998</v>
      </c>
      <c r="E273">
        <v>-6.0680211560000004</v>
      </c>
      <c r="F273">
        <v>-0.86012003999999997</v>
      </c>
      <c r="G273">
        <v>-8.9507796610000003</v>
      </c>
    </row>
    <row r="274" spans="1:7">
      <c r="A274" t="s">
        <v>986</v>
      </c>
      <c r="B274">
        <v>15</v>
      </c>
      <c r="C274">
        <v>1964</v>
      </c>
      <c r="D274">
        <v>4.3134274369999996</v>
      </c>
      <c r="E274">
        <v>-6.021470946</v>
      </c>
      <c r="F274">
        <v>-0.86767681600000002</v>
      </c>
      <c r="G274">
        <v>-8.8394321429999998</v>
      </c>
    </row>
    <row r="275" spans="1:7">
      <c r="A275" t="s">
        <v>986</v>
      </c>
      <c r="B275">
        <v>15</v>
      </c>
      <c r="C275">
        <v>1965</v>
      </c>
      <c r="D275">
        <v>4.2887139149999998</v>
      </c>
      <c r="E275">
        <v>-5.9960867410000001</v>
      </c>
      <c r="F275">
        <v>-0.90528667699999998</v>
      </c>
      <c r="G275">
        <v>-8.7603740390000002</v>
      </c>
    </row>
    <row r="276" spans="1:7">
      <c r="A276" t="s">
        <v>986</v>
      </c>
      <c r="B276">
        <v>15</v>
      </c>
      <c r="C276">
        <v>1966</v>
      </c>
      <c r="D276">
        <v>4.2663516039999996</v>
      </c>
      <c r="E276">
        <v>-5.9816167900000003</v>
      </c>
      <c r="F276">
        <v>-0.85956665399999999</v>
      </c>
      <c r="G276">
        <v>-8.6791161139999993</v>
      </c>
    </row>
    <row r="277" spans="1:7">
      <c r="A277" t="s">
        <v>986</v>
      </c>
      <c r="B277">
        <v>15</v>
      </c>
      <c r="C277">
        <v>1967</v>
      </c>
      <c r="D277">
        <v>4.2659188830000003</v>
      </c>
      <c r="E277">
        <v>-5.9749184260000003</v>
      </c>
      <c r="F277">
        <v>-0.90656670800000005</v>
      </c>
      <c r="G277">
        <v>-8.6199601520000009</v>
      </c>
    </row>
    <row r="278" spans="1:7">
      <c r="A278" t="s">
        <v>986</v>
      </c>
      <c r="B278">
        <v>15</v>
      </c>
      <c r="C278">
        <v>1968</v>
      </c>
      <c r="D278">
        <v>4.217787843</v>
      </c>
      <c r="E278">
        <v>-5.9536279299999997</v>
      </c>
      <c r="F278">
        <v>-0.872325197</v>
      </c>
      <c r="G278">
        <v>-8.5447523469999993</v>
      </c>
    </row>
    <row r="279" spans="1:7">
      <c r="A279" t="s">
        <v>986</v>
      </c>
      <c r="B279">
        <v>15</v>
      </c>
      <c r="C279">
        <v>1969</v>
      </c>
      <c r="D279">
        <v>4.2112900890000002</v>
      </c>
      <c r="E279">
        <v>-5.9121716659999999</v>
      </c>
      <c r="F279">
        <v>-0.91812161599999997</v>
      </c>
      <c r="G279">
        <v>-8.4733789359999996</v>
      </c>
    </row>
    <row r="280" spans="1:7">
      <c r="A280" t="s">
        <v>986</v>
      </c>
      <c r="B280">
        <v>15</v>
      </c>
      <c r="C280">
        <v>1970</v>
      </c>
      <c r="D280">
        <v>4.2252967100000003</v>
      </c>
      <c r="E280">
        <v>-5.8786356130000001</v>
      </c>
      <c r="F280">
        <v>-0.963441879</v>
      </c>
      <c r="G280">
        <v>-8.4064353129999994</v>
      </c>
    </row>
    <row r="281" spans="1:7">
      <c r="A281" t="s">
        <v>986</v>
      </c>
      <c r="B281">
        <v>15</v>
      </c>
      <c r="C281">
        <v>1971</v>
      </c>
      <c r="D281">
        <v>4.2806970030000002</v>
      </c>
      <c r="E281">
        <v>-5.84866507</v>
      </c>
      <c r="F281">
        <v>-1.037460815</v>
      </c>
      <c r="G281">
        <v>-8.3600659779999997</v>
      </c>
    </row>
    <row r="282" spans="1:7">
      <c r="A282" t="s">
        <v>986</v>
      </c>
      <c r="B282">
        <v>15</v>
      </c>
      <c r="C282">
        <v>1972</v>
      </c>
      <c r="D282">
        <v>4.2591593359999997</v>
      </c>
      <c r="E282">
        <v>-5.8114920469999998</v>
      </c>
      <c r="F282">
        <v>-0.94015344899999997</v>
      </c>
      <c r="G282">
        <v>-8.3036252000000008</v>
      </c>
    </row>
    <row r="283" spans="1:7">
      <c r="A283" t="s">
        <v>986</v>
      </c>
      <c r="B283">
        <v>15</v>
      </c>
      <c r="C283">
        <v>1973</v>
      </c>
      <c r="D283">
        <v>4.2298161619999997</v>
      </c>
      <c r="E283">
        <v>-5.7604129210000004</v>
      </c>
      <c r="F283">
        <v>-0.86722756099999998</v>
      </c>
      <c r="G283">
        <v>-8.2466356469999997</v>
      </c>
    </row>
    <row r="284" spans="1:7">
      <c r="A284" t="s">
        <v>986</v>
      </c>
      <c r="B284">
        <v>15</v>
      </c>
      <c r="C284">
        <v>1974</v>
      </c>
      <c r="D284">
        <v>4.1663637390000003</v>
      </c>
      <c r="E284">
        <v>-5.7517026360000001</v>
      </c>
      <c r="F284">
        <v>-0.88692305500000002</v>
      </c>
      <c r="G284">
        <v>-8.205506991</v>
      </c>
    </row>
    <row r="285" spans="1:7">
      <c r="A285" t="s">
        <v>986</v>
      </c>
      <c r="B285">
        <v>15</v>
      </c>
      <c r="C285">
        <v>1975</v>
      </c>
      <c r="D285">
        <v>4.1205677569999999</v>
      </c>
      <c r="E285">
        <v>-5.8257756220000001</v>
      </c>
      <c r="F285">
        <v>-0.88475790300000001</v>
      </c>
      <c r="G285">
        <v>-8.1660769050000006</v>
      </c>
    </row>
    <row r="286" spans="1:7">
      <c r="A286" t="s">
        <v>986</v>
      </c>
      <c r="B286">
        <v>15</v>
      </c>
      <c r="C286">
        <v>1976</v>
      </c>
      <c r="D286">
        <v>4.0795721800000004</v>
      </c>
      <c r="E286">
        <v>-5.835963381</v>
      </c>
      <c r="F286">
        <v>-0.90736205400000003</v>
      </c>
      <c r="G286">
        <v>-8.1287497710000007</v>
      </c>
    </row>
    <row r="287" spans="1:7">
      <c r="A287" t="s">
        <v>986</v>
      </c>
      <c r="B287">
        <v>15</v>
      </c>
      <c r="C287">
        <v>1977</v>
      </c>
      <c r="D287">
        <v>4.1005333390000001</v>
      </c>
      <c r="E287">
        <v>-5.8209595429999998</v>
      </c>
      <c r="F287">
        <v>-0.911472846</v>
      </c>
      <c r="G287">
        <v>-8.0935082690000009</v>
      </c>
    </row>
    <row r="288" spans="1:7">
      <c r="A288" t="s">
        <v>986</v>
      </c>
      <c r="B288">
        <v>15</v>
      </c>
      <c r="C288">
        <v>1978</v>
      </c>
      <c r="D288">
        <v>4.050047696</v>
      </c>
      <c r="E288">
        <v>-5.8168472879999999</v>
      </c>
      <c r="F288">
        <v>-1.0320881129999999</v>
      </c>
      <c r="G288">
        <v>-8.0343716379999996</v>
      </c>
    </row>
    <row r="289" spans="1:7">
      <c r="A289" t="s">
        <v>987</v>
      </c>
      <c r="B289">
        <v>16</v>
      </c>
      <c r="C289">
        <v>1960</v>
      </c>
      <c r="D289">
        <v>6.1295528490000004</v>
      </c>
      <c r="E289">
        <v>-7.8011442469999999</v>
      </c>
      <c r="F289">
        <v>-0.25340821400000002</v>
      </c>
      <c r="G289">
        <v>-13.47518475</v>
      </c>
    </row>
    <row r="290" spans="1:7">
      <c r="A290" t="s">
        <v>987</v>
      </c>
      <c r="B290">
        <v>16</v>
      </c>
      <c r="C290">
        <v>1961</v>
      </c>
      <c r="D290">
        <v>6.1062126790000004</v>
      </c>
      <c r="E290">
        <v>-7.7867266470000001</v>
      </c>
      <c r="F290">
        <v>-0.34252374699999999</v>
      </c>
      <c r="G290">
        <v>-13.384727639999999</v>
      </c>
    </row>
    <row r="291" spans="1:7">
      <c r="A291" t="s">
        <v>987</v>
      </c>
      <c r="B291">
        <v>16</v>
      </c>
      <c r="C291">
        <v>1962</v>
      </c>
      <c r="D291">
        <v>6.0845870209999999</v>
      </c>
      <c r="E291">
        <v>-7.8362720430000001</v>
      </c>
      <c r="F291">
        <v>-0.40820483600000002</v>
      </c>
      <c r="G291">
        <v>-13.24594155</v>
      </c>
    </row>
    <row r="292" spans="1:7">
      <c r="A292" t="s">
        <v>987</v>
      </c>
      <c r="B292">
        <v>16</v>
      </c>
      <c r="C292">
        <v>1963</v>
      </c>
      <c r="D292">
        <v>6.0751291350000001</v>
      </c>
      <c r="E292">
        <v>-7.631193283</v>
      </c>
      <c r="F292">
        <v>-0.22499174299999999</v>
      </c>
      <c r="G292">
        <v>-13.25504535</v>
      </c>
    </row>
    <row r="293" spans="1:7">
      <c r="A293" t="s">
        <v>987</v>
      </c>
      <c r="B293">
        <v>16</v>
      </c>
      <c r="C293">
        <v>1964</v>
      </c>
      <c r="D293">
        <v>6.0646008690000004</v>
      </c>
      <c r="E293">
        <v>-7.6268984829999997</v>
      </c>
      <c r="F293">
        <v>-0.252194478</v>
      </c>
      <c r="G293">
        <v>-13.210309990000001</v>
      </c>
    </row>
    <row r="294" spans="1:7">
      <c r="A294" t="s">
        <v>987</v>
      </c>
      <c r="B294">
        <v>16</v>
      </c>
      <c r="C294">
        <v>1965</v>
      </c>
      <c r="D294">
        <v>5.8230458949999999</v>
      </c>
      <c r="E294">
        <v>-7.6220266030000001</v>
      </c>
      <c r="F294">
        <v>-0.29347613700000003</v>
      </c>
      <c r="G294">
        <v>-12.87933595</v>
      </c>
    </row>
    <row r="295" spans="1:7">
      <c r="A295" t="s">
        <v>987</v>
      </c>
      <c r="B295">
        <v>16</v>
      </c>
      <c r="C295">
        <v>1966</v>
      </c>
      <c r="D295">
        <v>6.1566444069999999</v>
      </c>
      <c r="E295">
        <v>-7.5108952179999999</v>
      </c>
      <c r="F295">
        <v>-0.35640490699999999</v>
      </c>
      <c r="G295">
        <v>-12.95113793</v>
      </c>
    </row>
    <row r="296" spans="1:7">
      <c r="A296" t="s">
        <v>987</v>
      </c>
      <c r="B296">
        <v>16</v>
      </c>
      <c r="C296">
        <v>1967</v>
      </c>
      <c r="D296">
        <v>6.044478582</v>
      </c>
      <c r="E296">
        <v>-7.4608096640000001</v>
      </c>
      <c r="F296">
        <v>-0.33515021699999997</v>
      </c>
      <c r="G296">
        <v>-12.80185198</v>
      </c>
    </row>
    <row r="297" spans="1:7">
      <c r="A297" t="s">
        <v>987</v>
      </c>
      <c r="B297">
        <v>16</v>
      </c>
      <c r="C297">
        <v>1968</v>
      </c>
      <c r="D297">
        <v>6.0765946270000004</v>
      </c>
      <c r="E297">
        <v>-7.4212014660000003</v>
      </c>
      <c r="F297">
        <v>-0.365073857</v>
      </c>
      <c r="G297">
        <v>-12.80735479</v>
      </c>
    </row>
    <row r="298" spans="1:7">
      <c r="A298" t="s">
        <v>987</v>
      </c>
      <c r="B298">
        <v>16</v>
      </c>
      <c r="C298">
        <v>1969</v>
      </c>
      <c r="D298">
        <v>5.7207051419999999</v>
      </c>
      <c r="E298">
        <v>-7.3886461719999996</v>
      </c>
      <c r="F298">
        <v>-0.29845416899999999</v>
      </c>
      <c r="G298">
        <v>-12.518544889999999</v>
      </c>
    </row>
    <row r="299" spans="1:7">
      <c r="A299" t="s">
        <v>987</v>
      </c>
      <c r="B299">
        <v>16</v>
      </c>
      <c r="C299">
        <v>1970</v>
      </c>
      <c r="D299">
        <v>5.7221050699999996</v>
      </c>
      <c r="E299">
        <v>-7.3240908989999998</v>
      </c>
      <c r="F299">
        <v>-0.39882647799999998</v>
      </c>
      <c r="G299">
        <v>-12.446582769999999</v>
      </c>
    </row>
    <row r="300" spans="1:7">
      <c r="A300" t="s">
        <v>987</v>
      </c>
      <c r="B300">
        <v>16</v>
      </c>
      <c r="C300">
        <v>1971</v>
      </c>
      <c r="D300">
        <v>5.6696463189999999</v>
      </c>
      <c r="E300">
        <v>-7.1823661369999998</v>
      </c>
      <c r="F300">
        <v>-0.30461880200000002</v>
      </c>
      <c r="G300">
        <v>-12.39882712</v>
      </c>
    </row>
    <row r="301" spans="1:7">
      <c r="A301" t="s">
        <v>987</v>
      </c>
      <c r="B301">
        <v>16</v>
      </c>
      <c r="C301">
        <v>1972</v>
      </c>
      <c r="D301">
        <v>5.5788213320000004</v>
      </c>
      <c r="E301">
        <v>-7.0837171640000003</v>
      </c>
      <c r="F301">
        <v>-0.54637424099999998</v>
      </c>
      <c r="G301">
        <v>-12.19204422</v>
      </c>
    </row>
    <row r="302" spans="1:7">
      <c r="A302" t="s">
        <v>987</v>
      </c>
      <c r="B302">
        <v>16</v>
      </c>
      <c r="C302">
        <v>1973</v>
      </c>
      <c r="D302">
        <v>5.6864703600000004</v>
      </c>
      <c r="E302">
        <v>-7.067421693</v>
      </c>
      <c r="F302">
        <v>-0.69162022999999995</v>
      </c>
      <c r="G302">
        <v>-11.990216309999999</v>
      </c>
    </row>
    <row r="303" spans="1:7">
      <c r="A303" t="s">
        <v>987</v>
      </c>
      <c r="B303">
        <v>16</v>
      </c>
      <c r="C303">
        <v>1974</v>
      </c>
      <c r="D303">
        <v>5.4277284400000001</v>
      </c>
      <c r="E303">
        <v>-7.0128142699999998</v>
      </c>
      <c r="F303">
        <v>-0.33965307900000002</v>
      </c>
      <c r="G303">
        <v>-11.75939998</v>
      </c>
    </row>
    <row r="304" spans="1:7">
      <c r="A304" t="s">
        <v>987</v>
      </c>
      <c r="B304">
        <v>16</v>
      </c>
      <c r="C304">
        <v>1975</v>
      </c>
      <c r="D304">
        <v>5.4267771739999997</v>
      </c>
      <c r="E304">
        <v>-6.9544386200000003</v>
      </c>
      <c r="F304">
        <v>-0.53794675000000003</v>
      </c>
      <c r="G304">
        <v>-11.55502914</v>
      </c>
    </row>
    <row r="305" spans="1:7">
      <c r="A305" t="s">
        <v>987</v>
      </c>
      <c r="B305">
        <v>16</v>
      </c>
      <c r="C305">
        <v>1976</v>
      </c>
      <c r="D305">
        <v>5.3129291930000004</v>
      </c>
      <c r="E305">
        <v>-6.9096966990000004</v>
      </c>
      <c r="F305">
        <v>-0.75141027199999999</v>
      </c>
      <c r="G305">
        <v>-11.431642289999999</v>
      </c>
    </row>
    <row r="306" spans="1:7">
      <c r="A306" t="s">
        <v>987</v>
      </c>
      <c r="B306">
        <v>16</v>
      </c>
      <c r="C306">
        <v>1977</v>
      </c>
      <c r="D306">
        <v>5.3134624219999997</v>
      </c>
      <c r="E306">
        <v>-6.893658898</v>
      </c>
      <c r="F306">
        <v>-0.95552413300000005</v>
      </c>
      <c r="G306">
        <v>-11.233800329999999</v>
      </c>
    </row>
    <row r="307" spans="1:7">
      <c r="A307" t="s">
        <v>987</v>
      </c>
      <c r="B307">
        <v>16</v>
      </c>
      <c r="C307">
        <v>1978</v>
      </c>
      <c r="D307">
        <v>5.1412554769999996</v>
      </c>
      <c r="E307">
        <v>-6.8888262359999999</v>
      </c>
      <c r="F307">
        <v>-0.35290961199999998</v>
      </c>
      <c r="G307">
        <v>-11.181325060000001</v>
      </c>
    </row>
    <row r="308" spans="1:7">
      <c r="A308" t="s">
        <v>426</v>
      </c>
      <c r="B308">
        <v>17</v>
      </c>
      <c r="C308">
        <v>1960</v>
      </c>
      <c r="D308">
        <v>4.1002442840000004</v>
      </c>
      <c r="E308">
        <v>-6.1868492179999999</v>
      </c>
      <c r="F308">
        <v>-0.39108581399999998</v>
      </c>
      <c r="G308">
        <v>-9.1176234160000007</v>
      </c>
    </row>
    <row r="309" spans="1:7">
      <c r="A309" t="s">
        <v>426</v>
      </c>
      <c r="B309">
        <v>17</v>
      </c>
      <c r="C309">
        <v>1961</v>
      </c>
      <c r="D309">
        <v>4.0886357999999996</v>
      </c>
      <c r="E309">
        <v>-6.1688580389999998</v>
      </c>
      <c r="F309">
        <v>-0.45185307600000002</v>
      </c>
      <c r="G309">
        <v>-9.0488917670000006</v>
      </c>
    </row>
    <row r="310" spans="1:7">
      <c r="A310" t="s">
        <v>426</v>
      </c>
      <c r="B310">
        <v>17</v>
      </c>
      <c r="C310">
        <v>1962</v>
      </c>
      <c r="D310">
        <v>4.0480509119999999</v>
      </c>
      <c r="E310">
        <v>-6.1667153189999997</v>
      </c>
      <c r="F310">
        <v>-0.422876898</v>
      </c>
      <c r="G310">
        <v>-8.9668845800000003</v>
      </c>
    </row>
    <row r="311" spans="1:7">
      <c r="A311" t="s">
        <v>426</v>
      </c>
      <c r="B311">
        <v>17</v>
      </c>
      <c r="C311">
        <v>1963</v>
      </c>
      <c r="D311">
        <v>3.9852710359999999</v>
      </c>
      <c r="E311">
        <v>-6.1306735420000003</v>
      </c>
      <c r="F311">
        <v>-0.46335147300000001</v>
      </c>
      <c r="G311">
        <v>-8.8559425679999997</v>
      </c>
    </row>
    <row r="312" spans="1:7">
      <c r="A312" t="s">
        <v>426</v>
      </c>
      <c r="B312">
        <v>17</v>
      </c>
      <c r="C312">
        <v>1964</v>
      </c>
      <c r="D312">
        <v>3.9767811860000002</v>
      </c>
      <c r="E312">
        <v>-6.0863700759999997</v>
      </c>
      <c r="F312">
        <v>-0.495774304</v>
      </c>
      <c r="G312">
        <v>-8.7497823260000001</v>
      </c>
    </row>
    <row r="313" spans="1:7">
      <c r="A313" t="s">
        <v>426</v>
      </c>
      <c r="B313">
        <v>17</v>
      </c>
      <c r="C313">
        <v>1965</v>
      </c>
      <c r="D313">
        <v>3.9686756939999999</v>
      </c>
      <c r="E313">
        <v>-6.0768947779999998</v>
      </c>
      <c r="F313">
        <v>-0.42654915399999999</v>
      </c>
      <c r="G313">
        <v>-8.6776080669999995</v>
      </c>
    </row>
    <row r="314" spans="1:7">
      <c r="A314" t="s">
        <v>426</v>
      </c>
      <c r="B314">
        <v>17</v>
      </c>
      <c r="C314">
        <v>1966</v>
      </c>
      <c r="D314">
        <v>3.957212164</v>
      </c>
      <c r="E314">
        <v>-6.0690615179999998</v>
      </c>
      <c r="F314">
        <v>-0.47068144899999997</v>
      </c>
      <c r="G314">
        <v>-8.6182775859999996</v>
      </c>
    </row>
    <row r="315" spans="1:7">
      <c r="A315" t="s">
        <v>426</v>
      </c>
      <c r="B315">
        <v>17</v>
      </c>
      <c r="C315">
        <v>1967</v>
      </c>
      <c r="D315">
        <v>3.9436308489999998</v>
      </c>
      <c r="E315">
        <v>-6.0494290880000001</v>
      </c>
      <c r="F315">
        <v>-0.44118785700000002</v>
      </c>
      <c r="G315">
        <v>-8.5449727559999999</v>
      </c>
    </row>
    <row r="316" spans="1:7">
      <c r="A316" t="s">
        <v>426</v>
      </c>
      <c r="B316">
        <v>17</v>
      </c>
      <c r="C316">
        <v>1968</v>
      </c>
      <c r="D316">
        <v>3.953202718</v>
      </c>
      <c r="E316">
        <v>-6.0303825509999998</v>
      </c>
      <c r="F316">
        <v>-0.462450796</v>
      </c>
      <c r="G316">
        <v>-8.5018706739999992</v>
      </c>
    </row>
    <row r="317" spans="1:7">
      <c r="A317" t="s">
        <v>426</v>
      </c>
      <c r="B317">
        <v>17</v>
      </c>
      <c r="C317">
        <v>1969</v>
      </c>
      <c r="D317">
        <v>3.9480583679999999</v>
      </c>
      <c r="E317">
        <v>-6.0319525729999999</v>
      </c>
      <c r="F317">
        <v>-0.383324569</v>
      </c>
      <c r="G317">
        <v>-8.4681187490000003</v>
      </c>
    </row>
    <row r="318" spans="1:7">
      <c r="A318" t="s">
        <v>426</v>
      </c>
      <c r="B318">
        <v>17</v>
      </c>
      <c r="C318">
        <v>1970</v>
      </c>
      <c r="D318">
        <v>3.9797051950000002</v>
      </c>
      <c r="E318">
        <v>-6.0082591949999999</v>
      </c>
      <c r="F318">
        <v>-0.41899029700000001</v>
      </c>
      <c r="G318">
        <v>-8.4451369780000007</v>
      </c>
    </row>
    <row r="319" spans="1:7">
      <c r="A319" t="s">
        <v>426</v>
      </c>
      <c r="B319">
        <v>17</v>
      </c>
      <c r="C319">
        <v>1971</v>
      </c>
      <c r="D319">
        <v>3.9836534010000002</v>
      </c>
      <c r="E319">
        <v>-5.9817324120000004</v>
      </c>
      <c r="F319">
        <v>-0.461359776</v>
      </c>
      <c r="G319">
        <v>-8.40279256</v>
      </c>
    </row>
    <row r="320" spans="1:7">
      <c r="A320" t="s">
        <v>426</v>
      </c>
      <c r="B320">
        <v>17</v>
      </c>
      <c r="C320">
        <v>1972</v>
      </c>
      <c r="D320">
        <v>3.9927567860000002</v>
      </c>
      <c r="E320">
        <v>-5.9730060429999998</v>
      </c>
      <c r="F320">
        <v>-0.527772456</v>
      </c>
      <c r="G320">
        <v>-8.3560979149999994</v>
      </c>
    </row>
    <row r="321" spans="1:7">
      <c r="A321" t="s">
        <v>426</v>
      </c>
      <c r="B321">
        <v>17</v>
      </c>
      <c r="C321">
        <v>1973</v>
      </c>
      <c r="D321">
        <v>3.9953641219999998</v>
      </c>
      <c r="E321">
        <v>-5.8975644980000004</v>
      </c>
      <c r="F321">
        <v>-0.56529717700000004</v>
      </c>
      <c r="G321">
        <v>-8.3066774540000008</v>
      </c>
    </row>
    <row r="322" spans="1:7">
      <c r="A322" t="s">
        <v>426</v>
      </c>
      <c r="B322">
        <v>17</v>
      </c>
      <c r="C322">
        <v>1974</v>
      </c>
      <c r="D322">
        <v>3.9669614530000001</v>
      </c>
      <c r="E322">
        <v>-5.9128084039999997</v>
      </c>
      <c r="F322">
        <v>-0.56641295999999997</v>
      </c>
      <c r="G322">
        <v>-8.2857705940000006</v>
      </c>
    </row>
    <row r="323" spans="1:7">
      <c r="A323" t="s">
        <v>426</v>
      </c>
      <c r="B323">
        <v>17</v>
      </c>
      <c r="C323">
        <v>1975</v>
      </c>
      <c r="D323">
        <v>3.9125838580000001</v>
      </c>
      <c r="E323">
        <v>-5.9232392379999999</v>
      </c>
      <c r="F323">
        <v>-0.20867427899999999</v>
      </c>
      <c r="G323">
        <v>-8.2764161170000001</v>
      </c>
    </row>
    <row r="324" spans="1:7">
      <c r="A324" t="s">
        <v>426</v>
      </c>
      <c r="B324">
        <v>17</v>
      </c>
      <c r="C324">
        <v>1976</v>
      </c>
      <c r="D324">
        <v>3.962305336</v>
      </c>
      <c r="E324">
        <v>-5.8868089379999997</v>
      </c>
      <c r="F324">
        <v>-0.27354009699999998</v>
      </c>
      <c r="G324">
        <v>-8.2693748839999994</v>
      </c>
    </row>
    <row r="325" spans="1:7">
      <c r="A325" t="s">
        <v>426</v>
      </c>
      <c r="B325">
        <v>17</v>
      </c>
      <c r="C325">
        <v>1977</v>
      </c>
      <c r="D325">
        <v>3.945553345</v>
      </c>
      <c r="E325">
        <v>-5.8710137790000001</v>
      </c>
      <c r="F325">
        <v>-0.50886284500000001</v>
      </c>
      <c r="G325">
        <v>-8.2665167939999993</v>
      </c>
    </row>
    <row r="326" spans="1:7">
      <c r="A326" t="s">
        <v>426</v>
      </c>
      <c r="B326">
        <v>17</v>
      </c>
      <c r="C326">
        <v>1978</v>
      </c>
      <c r="D326">
        <v>4.0003742149999999</v>
      </c>
      <c r="E326">
        <v>-5.8405522080000001</v>
      </c>
      <c r="F326">
        <v>-0.78652911299999995</v>
      </c>
      <c r="G326">
        <v>-8.2626140780000004</v>
      </c>
    </row>
    <row r="327" spans="1:7">
      <c r="A327" t="s">
        <v>988</v>
      </c>
      <c r="B327">
        <v>18</v>
      </c>
      <c r="C327">
        <v>1960</v>
      </c>
      <c r="D327">
        <v>4.8239645119999999</v>
      </c>
      <c r="E327">
        <v>-5.6983737740000002</v>
      </c>
      <c r="F327">
        <v>-1.1211148929999999</v>
      </c>
      <c r="G327">
        <v>-8.0194578530000005</v>
      </c>
    </row>
    <row r="328" spans="1:7">
      <c r="A328" t="s">
        <v>988</v>
      </c>
      <c r="B328">
        <v>18</v>
      </c>
      <c r="C328">
        <v>1961</v>
      </c>
      <c r="D328">
        <v>4.7963170699999997</v>
      </c>
      <c r="E328">
        <v>-5.695218272</v>
      </c>
      <c r="F328">
        <v>-1.1462403379999999</v>
      </c>
      <c r="G328">
        <v>-7.9992616820000002</v>
      </c>
    </row>
    <row r="329" spans="1:7">
      <c r="A329" t="s">
        <v>988</v>
      </c>
      <c r="B329">
        <v>18</v>
      </c>
      <c r="C329">
        <v>1962</v>
      </c>
      <c r="D329">
        <v>4.798936565</v>
      </c>
      <c r="E329">
        <v>-5.6488069599999999</v>
      </c>
      <c r="F329">
        <v>-1.161874485</v>
      </c>
      <c r="G329">
        <v>-7.986407249</v>
      </c>
    </row>
    <row r="330" spans="1:7">
      <c r="A330" t="s">
        <v>988</v>
      </c>
      <c r="B330">
        <v>18</v>
      </c>
      <c r="C330">
        <v>1963</v>
      </c>
      <c r="D330">
        <v>4.7878951519999999</v>
      </c>
      <c r="E330">
        <v>-5.6268507970000003</v>
      </c>
      <c r="F330">
        <v>-1.179915236</v>
      </c>
      <c r="G330">
        <v>-7.9595424860000001</v>
      </c>
    </row>
    <row r="331" spans="1:7">
      <c r="A331" t="s">
        <v>988</v>
      </c>
      <c r="B331">
        <v>18</v>
      </c>
      <c r="C331">
        <v>1964</v>
      </c>
      <c r="D331">
        <v>4.8082735730000001</v>
      </c>
      <c r="E331">
        <v>-5.5871465269999998</v>
      </c>
      <c r="F331">
        <v>-1.2002622249999999</v>
      </c>
      <c r="G331">
        <v>-7.9298988020000003</v>
      </c>
    </row>
    <row r="332" spans="1:7">
      <c r="A332" t="s">
        <v>988</v>
      </c>
      <c r="B332">
        <v>18</v>
      </c>
      <c r="C332">
        <v>1965</v>
      </c>
      <c r="D332">
        <v>4.8059545110000004</v>
      </c>
      <c r="E332">
        <v>-5.5368907219999999</v>
      </c>
      <c r="F332">
        <v>-1.1942874990000001</v>
      </c>
      <c r="G332">
        <v>-7.9004925159999999</v>
      </c>
    </row>
    <row r="333" spans="1:7">
      <c r="A333" t="s">
        <v>988</v>
      </c>
      <c r="B333">
        <v>18</v>
      </c>
      <c r="C333">
        <v>1966</v>
      </c>
      <c r="D333">
        <v>4.80753056</v>
      </c>
      <c r="E333">
        <v>-5.4790125759999997</v>
      </c>
      <c r="F333">
        <v>-1.1902605420000001</v>
      </c>
      <c r="G333">
        <v>-7.8679777020000001</v>
      </c>
    </row>
    <row r="334" spans="1:7">
      <c r="A334" t="s">
        <v>988</v>
      </c>
      <c r="B334">
        <v>18</v>
      </c>
      <c r="C334">
        <v>1967</v>
      </c>
      <c r="D334">
        <v>4.8008834760000001</v>
      </c>
      <c r="E334">
        <v>-5.464959769</v>
      </c>
      <c r="F334">
        <v>-1.1899121509999999</v>
      </c>
      <c r="G334">
        <v>-7.8411773230000001</v>
      </c>
    </row>
    <row r="335" spans="1:7">
      <c r="A335" t="s">
        <v>988</v>
      </c>
      <c r="B335">
        <v>18</v>
      </c>
      <c r="C335">
        <v>1968</v>
      </c>
      <c r="D335">
        <v>4.834141765</v>
      </c>
      <c r="E335">
        <v>-5.4302129710000004</v>
      </c>
      <c r="F335">
        <v>-1.2073005939999999</v>
      </c>
      <c r="G335">
        <v>-7.8224279880000003</v>
      </c>
    </row>
    <row r="336" spans="1:7">
      <c r="A336" t="s">
        <v>988</v>
      </c>
      <c r="B336">
        <v>18</v>
      </c>
      <c r="C336">
        <v>1969</v>
      </c>
      <c r="D336">
        <v>4.8413827129999998</v>
      </c>
      <c r="E336">
        <v>-5.4143743510000002</v>
      </c>
      <c r="F336">
        <v>-1.22314272</v>
      </c>
      <c r="G336">
        <v>-7.7927061450000004</v>
      </c>
    </row>
    <row r="337" spans="1:7">
      <c r="A337" t="s">
        <v>988</v>
      </c>
      <c r="B337">
        <v>18</v>
      </c>
      <c r="C337">
        <v>1970</v>
      </c>
      <c r="D337">
        <v>4.8484842119999998</v>
      </c>
      <c r="E337">
        <v>-5.4219647320000002</v>
      </c>
      <c r="F337">
        <v>-1.251763468</v>
      </c>
      <c r="G337">
        <v>-7.7653764240000003</v>
      </c>
    </row>
    <row r="338" spans="1:7">
      <c r="A338" t="s">
        <v>988</v>
      </c>
      <c r="B338">
        <v>18</v>
      </c>
      <c r="C338">
        <v>1971</v>
      </c>
      <c r="D338">
        <v>4.8602864749999997</v>
      </c>
      <c r="E338">
        <v>-5.4060424579999999</v>
      </c>
      <c r="F338">
        <v>-1.2813155979999999</v>
      </c>
      <c r="G338">
        <v>-7.7489206130000001</v>
      </c>
    </row>
    <row r="339" spans="1:7">
      <c r="A339" t="s">
        <v>988</v>
      </c>
      <c r="B339">
        <v>18</v>
      </c>
      <c r="C339">
        <v>1972</v>
      </c>
      <c r="D339">
        <v>4.8540732650000002</v>
      </c>
      <c r="E339">
        <v>-5.3539556380000004</v>
      </c>
      <c r="F339">
        <v>-1.331169295</v>
      </c>
      <c r="G339">
        <v>-7.6804184859999998</v>
      </c>
    </row>
    <row r="340" spans="1:7">
      <c r="A340" t="s">
        <v>988</v>
      </c>
      <c r="B340">
        <v>18</v>
      </c>
      <c r="C340">
        <v>1973</v>
      </c>
      <c r="D340">
        <v>4.8463745070000002</v>
      </c>
      <c r="E340">
        <v>-5.3081564869999998</v>
      </c>
      <c r="F340">
        <v>-1.2906696660000001</v>
      </c>
      <c r="G340">
        <v>-7.6376926689999998</v>
      </c>
    </row>
    <row r="341" spans="1:7">
      <c r="A341" t="s">
        <v>988</v>
      </c>
      <c r="B341">
        <v>18</v>
      </c>
      <c r="C341">
        <v>1974</v>
      </c>
      <c r="D341">
        <v>4.7986259440000003</v>
      </c>
      <c r="E341">
        <v>-5.3286938700000004</v>
      </c>
      <c r="F341">
        <v>-1.231466862</v>
      </c>
      <c r="G341">
        <v>-7.6175576149999999</v>
      </c>
    </row>
    <row r="342" spans="1:7">
      <c r="A342" t="s">
        <v>988</v>
      </c>
      <c r="B342">
        <v>18</v>
      </c>
      <c r="C342">
        <v>1975</v>
      </c>
      <c r="D342">
        <v>4.8049322349999999</v>
      </c>
      <c r="E342">
        <v>-5.3461899190000004</v>
      </c>
      <c r="F342">
        <v>-1.2003769719999999</v>
      </c>
      <c r="G342">
        <v>-7.607010066</v>
      </c>
    </row>
    <row r="343" spans="1:7">
      <c r="A343" t="s">
        <v>988</v>
      </c>
      <c r="B343">
        <v>18</v>
      </c>
      <c r="C343">
        <v>1976</v>
      </c>
      <c r="D343">
        <v>4.8148907169999999</v>
      </c>
      <c r="E343">
        <v>-5.2979455160000004</v>
      </c>
      <c r="F343">
        <v>-1.154681971</v>
      </c>
      <c r="G343">
        <v>-7.5747481810000004</v>
      </c>
    </row>
    <row r="344" spans="1:7">
      <c r="A344" t="s">
        <v>988</v>
      </c>
      <c r="B344">
        <v>18</v>
      </c>
      <c r="C344">
        <v>1977</v>
      </c>
      <c r="D344">
        <v>4.8110324670000004</v>
      </c>
      <c r="E344">
        <v>-5.2566058050000004</v>
      </c>
      <c r="F344">
        <v>-1.1759097380000001</v>
      </c>
      <c r="G344">
        <v>-7.5534576959999997</v>
      </c>
    </row>
    <row r="345" spans="1:7">
      <c r="A345" t="s">
        <v>988</v>
      </c>
      <c r="B345">
        <v>18</v>
      </c>
      <c r="C345">
        <v>1978</v>
      </c>
      <c r="D345">
        <v>4.818453968</v>
      </c>
      <c r="E345">
        <v>-5.2212323019999998</v>
      </c>
      <c r="F345">
        <v>-1.2120618270000001</v>
      </c>
      <c r="G345">
        <v>-7.5361763850000001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4282-0825-436D-87FA-AA20F081501B}">
  <dimension ref="A1:X398"/>
  <sheetViews>
    <sheetView topLeftCell="E389" workbookViewId="0">
      <selection activeCell="E3" sqref="E3:X398"/>
    </sheetView>
  </sheetViews>
  <sheetFormatPr defaultRowHeight="15"/>
  <sheetData>
    <row r="1" spans="1:24">
      <c r="A1" t="s">
        <v>989</v>
      </c>
    </row>
    <row r="3" spans="1:24">
      <c r="A3" t="s">
        <v>990</v>
      </c>
      <c r="B3" t="s">
        <v>991</v>
      </c>
      <c r="C3" t="s">
        <v>992</v>
      </c>
      <c r="D3" t="s">
        <v>993</v>
      </c>
      <c r="E3" t="s">
        <v>994</v>
      </c>
      <c r="F3" t="s">
        <v>995</v>
      </c>
      <c r="G3" t="s">
        <v>996</v>
      </c>
      <c r="H3" t="s">
        <v>997</v>
      </c>
      <c r="I3" t="s">
        <v>998</v>
      </c>
      <c r="J3" t="s">
        <v>999</v>
      </c>
      <c r="K3" t="s">
        <v>1000</v>
      </c>
      <c r="L3" t="s">
        <v>1001</v>
      </c>
      <c r="M3" t="s">
        <v>1002</v>
      </c>
      <c r="N3" t="s">
        <v>1003</v>
      </c>
      <c r="O3" t="s">
        <v>1004</v>
      </c>
      <c r="P3" t="s">
        <v>1005</v>
      </c>
      <c r="Q3" t="s">
        <v>1006</v>
      </c>
      <c r="R3" t="s">
        <v>1007</v>
      </c>
      <c r="S3" t="s">
        <v>1008</v>
      </c>
      <c r="T3" t="s">
        <v>1009</v>
      </c>
      <c r="U3" t="s">
        <v>1010</v>
      </c>
      <c r="V3" t="s">
        <v>1011</v>
      </c>
      <c r="W3" t="s">
        <v>1012</v>
      </c>
      <c r="X3" t="s">
        <v>1013</v>
      </c>
    </row>
    <row r="4" spans="1:24">
      <c r="A4">
        <v>1</v>
      </c>
      <c r="B4" t="s">
        <v>1014</v>
      </c>
      <c r="C4">
        <v>1</v>
      </c>
      <c r="D4">
        <v>1995</v>
      </c>
      <c r="E4">
        <v>57.171120000000002</v>
      </c>
      <c r="F4">
        <v>62.080530000000003</v>
      </c>
      <c r="G4">
        <v>29</v>
      </c>
      <c r="H4">
        <v>841</v>
      </c>
      <c r="I4">
        <v>3185000</v>
      </c>
      <c r="J4">
        <v>197.72649999999999</v>
      </c>
      <c r="K4">
        <v>4</v>
      </c>
      <c r="L4">
        <v>3</v>
      </c>
      <c r="M4">
        <v>7</v>
      </c>
      <c r="N4">
        <v>-0.31</v>
      </c>
      <c r="O4">
        <v>0.16</v>
      </c>
      <c r="P4">
        <v>825.7681</v>
      </c>
      <c r="Q4">
        <v>2775</v>
      </c>
      <c r="R4">
        <v>7700625</v>
      </c>
      <c r="S4">
        <v>3.1850000000000001</v>
      </c>
      <c r="T4">
        <v>10.14423</v>
      </c>
      <c r="U4">
        <v>1.0858719999999999</v>
      </c>
      <c r="V4">
        <v>1</v>
      </c>
      <c r="W4">
        <v>0</v>
      </c>
      <c r="X4">
        <v>0</v>
      </c>
    </row>
    <row r="5" spans="1:24">
      <c r="A5">
        <v>1</v>
      </c>
      <c r="B5" t="s">
        <v>1014</v>
      </c>
      <c r="C5">
        <v>1</v>
      </c>
      <c r="D5">
        <v>2000</v>
      </c>
      <c r="E5">
        <v>102.4799</v>
      </c>
      <c r="F5">
        <v>102.4799</v>
      </c>
      <c r="G5">
        <v>22</v>
      </c>
      <c r="H5">
        <v>484</v>
      </c>
      <c r="I5">
        <v>3113000</v>
      </c>
      <c r="J5">
        <v>319.01990000000001</v>
      </c>
      <c r="K5">
        <v>5</v>
      </c>
      <c r="L5">
        <v>4</v>
      </c>
      <c r="M5">
        <v>9</v>
      </c>
      <c r="N5">
        <v>-0.75</v>
      </c>
      <c r="O5">
        <v>-0.06</v>
      </c>
      <c r="P5">
        <v>1186.7429999999999</v>
      </c>
      <c r="Q5">
        <v>3689</v>
      </c>
      <c r="R5">
        <v>13608721</v>
      </c>
      <c r="S5">
        <v>3.113</v>
      </c>
      <c r="T5">
        <v>9.6907689999999995</v>
      </c>
      <c r="U5">
        <v>1</v>
      </c>
      <c r="V5">
        <v>0</v>
      </c>
      <c r="W5">
        <v>1</v>
      </c>
      <c r="X5">
        <v>0</v>
      </c>
    </row>
    <row r="6" spans="1:24">
      <c r="A6">
        <v>1</v>
      </c>
      <c r="B6" t="s">
        <v>1014</v>
      </c>
      <c r="C6">
        <v>1</v>
      </c>
      <c r="D6">
        <v>2003</v>
      </c>
      <c r="E6">
        <v>108.01300000000001</v>
      </c>
      <c r="F6">
        <v>102.03879999999999</v>
      </c>
      <c r="G6">
        <v>18</v>
      </c>
      <c r="H6">
        <v>324</v>
      </c>
      <c r="I6">
        <v>3169064</v>
      </c>
      <c r="J6">
        <v>323.36110000000002</v>
      </c>
      <c r="K6">
        <v>3</v>
      </c>
      <c r="L6">
        <v>3</v>
      </c>
      <c r="M6">
        <v>6</v>
      </c>
      <c r="N6">
        <v>-0.41</v>
      </c>
      <c r="O6">
        <v>-0.22</v>
      </c>
      <c r="P6">
        <v>1700.6310000000001</v>
      </c>
      <c r="Q6">
        <v>4322</v>
      </c>
      <c r="R6">
        <v>18679684</v>
      </c>
      <c r="S6">
        <v>3.169</v>
      </c>
      <c r="T6">
        <v>10.04256</v>
      </c>
      <c r="U6">
        <v>0.94469000000000003</v>
      </c>
      <c r="V6">
        <v>0</v>
      </c>
      <c r="W6">
        <v>0</v>
      </c>
      <c r="X6">
        <v>1</v>
      </c>
    </row>
    <row r="7" spans="1:24">
      <c r="A7">
        <v>2</v>
      </c>
      <c r="B7" t="s">
        <v>1015</v>
      </c>
      <c r="C7">
        <v>2</v>
      </c>
      <c r="D7">
        <v>1995</v>
      </c>
      <c r="E7">
        <v>10.60834</v>
      </c>
      <c r="F7">
        <v>11.519299999999999</v>
      </c>
      <c r="G7">
        <v>43</v>
      </c>
      <c r="H7">
        <v>1849</v>
      </c>
      <c r="I7">
        <v>28060000</v>
      </c>
      <c r="J7">
        <v>323.23160000000001</v>
      </c>
      <c r="K7">
        <v>6</v>
      </c>
      <c r="L7">
        <v>6</v>
      </c>
      <c r="M7">
        <v>12</v>
      </c>
      <c r="N7">
        <v>-0.77</v>
      </c>
      <c r="O7">
        <v>-0.68</v>
      </c>
      <c r="P7">
        <v>1616.1949999999999</v>
      </c>
      <c r="Q7">
        <v>5030</v>
      </c>
      <c r="R7">
        <v>25300900</v>
      </c>
      <c r="S7">
        <v>28.06</v>
      </c>
      <c r="T7">
        <v>787.36360000000002</v>
      </c>
      <c r="U7">
        <v>1.0858719999999999</v>
      </c>
      <c r="V7">
        <v>1</v>
      </c>
      <c r="W7">
        <v>0</v>
      </c>
      <c r="X7">
        <v>0</v>
      </c>
    </row>
    <row r="8" spans="1:24">
      <c r="A8">
        <v>2</v>
      </c>
      <c r="B8" t="s">
        <v>1015</v>
      </c>
      <c r="C8">
        <v>2</v>
      </c>
      <c r="D8">
        <v>2000</v>
      </c>
      <c r="E8">
        <v>6.6157640000000004</v>
      </c>
      <c r="F8">
        <v>6.6157640000000004</v>
      </c>
      <c r="G8">
        <v>37</v>
      </c>
      <c r="H8">
        <v>1369</v>
      </c>
      <c r="I8">
        <v>30385000</v>
      </c>
      <c r="J8">
        <v>201.02</v>
      </c>
      <c r="K8">
        <v>5</v>
      </c>
      <c r="L8">
        <v>6</v>
      </c>
      <c r="M8">
        <v>11</v>
      </c>
      <c r="N8">
        <v>-0.75</v>
      </c>
      <c r="O8">
        <v>-0.76</v>
      </c>
      <c r="P8">
        <v>1759.2460000000001</v>
      </c>
      <c r="Q8">
        <v>5419</v>
      </c>
      <c r="R8">
        <v>29365561</v>
      </c>
      <c r="S8">
        <v>30.385000000000002</v>
      </c>
      <c r="T8">
        <v>923.2482</v>
      </c>
      <c r="U8">
        <v>1</v>
      </c>
      <c r="V8">
        <v>0</v>
      </c>
      <c r="W8">
        <v>1</v>
      </c>
      <c r="X8">
        <v>0</v>
      </c>
    </row>
    <row r="9" spans="1:24">
      <c r="A9">
        <v>2</v>
      </c>
      <c r="B9" t="s">
        <v>1015</v>
      </c>
      <c r="C9">
        <v>2</v>
      </c>
      <c r="D9">
        <v>2003</v>
      </c>
      <c r="E9">
        <v>7.2953489999999999</v>
      </c>
      <c r="F9">
        <v>6.891845</v>
      </c>
      <c r="G9">
        <v>35</v>
      </c>
      <c r="H9">
        <v>1225</v>
      </c>
      <c r="I9">
        <v>31832610</v>
      </c>
      <c r="J9">
        <v>219.38810000000001</v>
      </c>
      <c r="K9">
        <v>5</v>
      </c>
      <c r="L9">
        <v>6</v>
      </c>
      <c r="M9">
        <v>11</v>
      </c>
      <c r="N9">
        <v>-0.53</v>
      </c>
      <c r="O9">
        <v>-0.76</v>
      </c>
      <c r="P9">
        <v>2018.575</v>
      </c>
      <c r="Q9">
        <v>5833</v>
      </c>
      <c r="R9">
        <v>34023889</v>
      </c>
      <c r="S9">
        <v>31.832999999999998</v>
      </c>
      <c r="T9">
        <v>1013.34</v>
      </c>
      <c r="U9">
        <v>0.94469000000000003</v>
      </c>
      <c r="V9">
        <v>0</v>
      </c>
      <c r="W9">
        <v>0</v>
      </c>
      <c r="X9">
        <v>1</v>
      </c>
    </row>
    <row r="10" spans="1:24">
      <c r="A10">
        <v>3</v>
      </c>
      <c r="B10" t="s">
        <v>1016</v>
      </c>
      <c r="C10">
        <v>3</v>
      </c>
      <c r="D10">
        <v>1995</v>
      </c>
      <c r="E10">
        <v>38.456020000000002</v>
      </c>
      <c r="F10">
        <v>41.758319999999998</v>
      </c>
      <c r="G10">
        <v>154</v>
      </c>
      <c r="H10">
        <v>23716</v>
      </c>
      <c r="I10">
        <v>10868000</v>
      </c>
      <c r="J10">
        <v>453.8295</v>
      </c>
      <c r="K10">
        <v>6</v>
      </c>
      <c r="L10">
        <v>6</v>
      </c>
      <c r="M10">
        <v>12</v>
      </c>
      <c r="N10">
        <v>-1.1299999999999999</v>
      </c>
      <c r="O10">
        <v>-1.6</v>
      </c>
      <c r="P10">
        <v>503.52330000000001</v>
      </c>
      <c r="Q10">
        <v>1783</v>
      </c>
      <c r="R10">
        <v>3179089</v>
      </c>
      <c r="S10">
        <v>10.868</v>
      </c>
      <c r="T10">
        <v>118.1134</v>
      </c>
      <c r="U10">
        <v>1.0858719999999999</v>
      </c>
      <c r="V10">
        <v>1</v>
      </c>
      <c r="W10">
        <v>0</v>
      </c>
      <c r="X10">
        <v>0</v>
      </c>
    </row>
    <row r="11" spans="1:24">
      <c r="A11">
        <v>3</v>
      </c>
      <c r="B11" t="s">
        <v>1016</v>
      </c>
      <c r="C11">
        <v>3</v>
      </c>
      <c r="D11">
        <v>2000</v>
      </c>
      <c r="E11">
        <v>24.759409999999999</v>
      </c>
      <c r="F11">
        <v>24.759409999999999</v>
      </c>
      <c r="G11">
        <v>154</v>
      </c>
      <c r="H11">
        <v>23716</v>
      </c>
      <c r="I11">
        <v>12386000</v>
      </c>
      <c r="J11">
        <v>306.67009999999999</v>
      </c>
      <c r="K11">
        <v>6</v>
      </c>
      <c r="L11">
        <v>6</v>
      </c>
      <c r="M11">
        <v>12</v>
      </c>
      <c r="N11">
        <v>-1.7</v>
      </c>
      <c r="O11">
        <v>-1.79</v>
      </c>
      <c r="P11">
        <v>737.05640000000005</v>
      </c>
      <c r="Q11">
        <v>1912</v>
      </c>
      <c r="R11">
        <v>3655744</v>
      </c>
      <c r="S11">
        <v>12.385999999999999</v>
      </c>
      <c r="T11">
        <v>153.41300000000001</v>
      </c>
      <c r="U11">
        <v>1</v>
      </c>
      <c r="V11">
        <v>0</v>
      </c>
      <c r="W11">
        <v>1</v>
      </c>
      <c r="X11">
        <v>0</v>
      </c>
    </row>
    <row r="12" spans="1:24">
      <c r="A12">
        <v>3</v>
      </c>
      <c r="B12" t="s">
        <v>1016</v>
      </c>
      <c r="C12">
        <v>3</v>
      </c>
      <c r="D12">
        <v>2003</v>
      </c>
      <c r="E12">
        <v>36.883290000000002</v>
      </c>
      <c r="F12">
        <v>34.843290000000003</v>
      </c>
      <c r="G12">
        <v>154</v>
      </c>
      <c r="H12">
        <v>23716</v>
      </c>
      <c r="I12">
        <v>13522110</v>
      </c>
      <c r="J12">
        <v>471.15089999999998</v>
      </c>
      <c r="K12">
        <v>5</v>
      </c>
      <c r="L12">
        <v>6</v>
      </c>
      <c r="M12">
        <v>11</v>
      </c>
      <c r="N12">
        <v>-1.17</v>
      </c>
      <c r="O12">
        <v>-1.39</v>
      </c>
      <c r="P12">
        <v>965.85379999999998</v>
      </c>
      <c r="Q12">
        <v>2022</v>
      </c>
      <c r="R12">
        <v>4088484</v>
      </c>
      <c r="S12">
        <v>13.522</v>
      </c>
      <c r="T12">
        <v>182.84450000000001</v>
      </c>
      <c r="U12">
        <v>0.94469000000000003</v>
      </c>
      <c r="V12">
        <v>0</v>
      </c>
      <c r="W12">
        <v>0</v>
      </c>
      <c r="X12">
        <v>1</v>
      </c>
    </row>
    <row r="13" spans="1:24">
      <c r="A13">
        <v>4</v>
      </c>
      <c r="B13" t="s">
        <v>150</v>
      </c>
      <c r="C13">
        <v>4</v>
      </c>
      <c r="D13">
        <v>1995</v>
      </c>
      <c r="E13">
        <v>4.1263290000000001</v>
      </c>
      <c r="F13">
        <v>4.4806660000000003</v>
      </c>
      <c r="G13">
        <v>22</v>
      </c>
      <c r="H13">
        <v>484</v>
      </c>
      <c r="I13">
        <v>34779100</v>
      </c>
      <c r="J13">
        <v>155.8331</v>
      </c>
      <c r="K13">
        <v>3</v>
      </c>
      <c r="L13">
        <v>2</v>
      </c>
      <c r="M13">
        <v>5</v>
      </c>
      <c r="N13">
        <v>0.45</v>
      </c>
      <c r="O13">
        <v>0.82</v>
      </c>
      <c r="P13">
        <v>8056.2659999999996</v>
      </c>
      <c r="Q13">
        <v>11252</v>
      </c>
      <c r="R13" s="87">
        <v>127000000</v>
      </c>
      <c r="S13">
        <v>34.779000000000003</v>
      </c>
      <c r="T13">
        <v>1209.579</v>
      </c>
      <c r="U13">
        <v>1.0858719999999999</v>
      </c>
      <c r="V13">
        <v>1</v>
      </c>
      <c r="W13">
        <v>0</v>
      </c>
      <c r="X13">
        <v>0</v>
      </c>
    </row>
    <row r="14" spans="1:24">
      <c r="A14">
        <v>4</v>
      </c>
      <c r="B14" t="s">
        <v>150</v>
      </c>
      <c r="C14">
        <v>4</v>
      </c>
      <c r="D14">
        <v>2000</v>
      </c>
      <c r="E14">
        <v>2.0742790000000002</v>
      </c>
      <c r="F14">
        <v>2.0742790000000002</v>
      </c>
      <c r="G14">
        <v>17</v>
      </c>
      <c r="H14">
        <v>289</v>
      </c>
      <c r="I14">
        <v>36783860</v>
      </c>
      <c r="J14">
        <v>76.300280000000001</v>
      </c>
      <c r="K14">
        <v>2</v>
      </c>
      <c r="L14">
        <v>1</v>
      </c>
      <c r="M14">
        <v>3</v>
      </c>
      <c r="N14">
        <v>0.28000000000000003</v>
      </c>
      <c r="O14">
        <v>0.45</v>
      </c>
      <c r="P14">
        <v>7726.3149999999996</v>
      </c>
      <c r="Q14">
        <v>12185</v>
      </c>
      <c r="R14" s="87">
        <v>148000000</v>
      </c>
      <c r="S14">
        <v>36.783999999999999</v>
      </c>
      <c r="T14">
        <v>1353.0630000000001</v>
      </c>
      <c r="U14">
        <v>1</v>
      </c>
      <c r="V14">
        <v>0</v>
      </c>
      <c r="W14">
        <v>1</v>
      </c>
      <c r="X14">
        <v>0</v>
      </c>
    </row>
    <row r="15" spans="1:24">
      <c r="A15">
        <v>4</v>
      </c>
      <c r="B15" t="s">
        <v>150</v>
      </c>
      <c r="C15">
        <v>4</v>
      </c>
      <c r="D15">
        <v>2003</v>
      </c>
      <c r="E15">
        <v>2.889643</v>
      </c>
      <c r="F15">
        <v>2.7298179999999999</v>
      </c>
      <c r="G15">
        <v>17</v>
      </c>
      <c r="H15">
        <v>289</v>
      </c>
      <c r="I15">
        <v>37869730</v>
      </c>
      <c r="J15">
        <v>103.37820000000001</v>
      </c>
      <c r="K15">
        <v>2</v>
      </c>
      <c r="L15">
        <v>2</v>
      </c>
      <c r="M15">
        <v>4</v>
      </c>
      <c r="N15">
        <v>-0.4</v>
      </c>
      <c r="O15">
        <v>-0.81</v>
      </c>
      <c r="P15">
        <v>3232.87</v>
      </c>
      <c r="Q15">
        <v>10920</v>
      </c>
      <c r="R15" s="87">
        <v>119000000</v>
      </c>
      <c r="S15">
        <v>37.869999999999997</v>
      </c>
      <c r="T15">
        <v>1434.1369999999999</v>
      </c>
      <c r="U15">
        <v>0.94469000000000003</v>
      </c>
      <c r="V15">
        <v>0</v>
      </c>
      <c r="W15">
        <v>0</v>
      </c>
      <c r="X15">
        <v>1</v>
      </c>
    </row>
    <row r="16" spans="1:24">
      <c r="A16">
        <v>5</v>
      </c>
      <c r="B16" t="s">
        <v>1017</v>
      </c>
      <c r="C16">
        <v>5</v>
      </c>
      <c r="D16">
        <v>1995</v>
      </c>
      <c r="E16">
        <v>65.547529999999995</v>
      </c>
      <c r="F16">
        <v>71.176240000000007</v>
      </c>
      <c r="G16">
        <v>44</v>
      </c>
      <c r="H16">
        <v>1936</v>
      </c>
      <c r="I16">
        <v>3324000</v>
      </c>
      <c r="J16">
        <v>236.5898</v>
      </c>
      <c r="K16">
        <v>4</v>
      </c>
      <c r="L16">
        <v>4</v>
      </c>
      <c r="M16">
        <v>8</v>
      </c>
      <c r="N16">
        <v>-0.32</v>
      </c>
      <c r="O16">
        <v>-0.74</v>
      </c>
      <c r="P16">
        <v>479.6644</v>
      </c>
      <c r="Q16">
        <v>1815</v>
      </c>
      <c r="R16">
        <v>3294225</v>
      </c>
      <c r="S16">
        <v>3.3239999999999998</v>
      </c>
      <c r="T16">
        <v>11.04898</v>
      </c>
      <c r="U16">
        <v>1.0858719999999999</v>
      </c>
      <c r="V16">
        <v>1</v>
      </c>
      <c r="W16">
        <v>0</v>
      </c>
      <c r="X16">
        <v>0</v>
      </c>
    </row>
    <row r="17" spans="1:24">
      <c r="A17">
        <v>5</v>
      </c>
      <c r="B17" t="s">
        <v>1017</v>
      </c>
      <c r="C17">
        <v>5</v>
      </c>
      <c r="D17">
        <v>2000</v>
      </c>
      <c r="E17">
        <v>69.373390000000001</v>
      </c>
      <c r="F17">
        <v>69.373390000000001</v>
      </c>
      <c r="G17">
        <v>33</v>
      </c>
      <c r="H17">
        <v>1089</v>
      </c>
      <c r="I17">
        <v>3112000</v>
      </c>
      <c r="J17">
        <v>215.89</v>
      </c>
      <c r="K17">
        <v>4</v>
      </c>
      <c r="L17">
        <v>4</v>
      </c>
      <c r="M17">
        <v>8</v>
      </c>
      <c r="N17">
        <v>-0.88</v>
      </c>
      <c r="O17">
        <v>-0.39</v>
      </c>
      <c r="P17">
        <v>614.25580000000002</v>
      </c>
      <c r="Q17">
        <v>2422</v>
      </c>
      <c r="R17">
        <v>5866084</v>
      </c>
      <c r="S17">
        <v>3.1120000000000001</v>
      </c>
      <c r="T17">
        <v>9.6845440000000007</v>
      </c>
      <c r="U17">
        <v>1</v>
      </c>
      <c r="V17">
        <v>0</v>
      </c>
      <c r="W17">
        <v>1</v>
      </c>
      <c r="X17">
        <v>0</v>
      </c>
    </row>
    <row r="18" spans="1:24">
      <c r="A18">
        <v>5</v>
      </c>
      <c r="B18" t="s">
        <v>1017</v>
      </c>
      <c r="C18">
        <v>5</v>
      </c>
      <c r="D18">
        <v>2003</v>
      </c>
      <c r="E18">
        <v>80.968580000000003</v>
      </c>
      <c r="F18">
        <v>76.490229999999997</v>
      </c>
      <c r="G18">
        <v>30</v>
      </c>
      <c r="H18">
        <v>900</v>
      </c>
      <c r="I18">
        <v>3055630</v>
      </c>
      <c r="J18">
        <v>233.75409999999999</v>
      </c>
      <c r="K18">
        <v>4</v>
      </c>
      <c r="L18">
        <v>4</v>
      </c>
      <c r="M18">
        <v>8</v>
      </c>
      <c r="N18">
        <v>-0.37</v>
      </c>
      <c r="O18">
        <v>0.08</v>
      </c>
      <c r="P18">
        <v>867.14400000000001</v>
      </c>
      <c r="Q18">
        <v>3468</v>
      </c>
      <c r="R18">
        <v>12027024</v>
      </c>
      <c r="S18">
        <v>3.056</v>
      </c>
      <c r="T18">
        <v>9.3391359999999999</v>
      </c>
      <c r="U18">
        <v>0.94469000000000003</v>
      </c>
      <c r="V18">
        <v>0</v>
      </c>
      <c r="W18">
        <v>0</v>
      </c>
      <c r="X18">
        <v>1</v>
      </c>
    </row>
    <row r="19" spans="1:24">
      <c r="A19">
        <v>6</v>
      </c>
      <c r="B19" t="s">
        <v>1018</v>
      </c>
      <c r="C19">
        <v>6</v>
      </c>
      <c r="D19">
        <v>1995</v>
      </c>
      <c r="E19">
        <v>15.46649</v>
      </c>
      <c r="F19">
        <v>16.794630000000002</v>
      </c>
      <c r="G19">
        <v>80</v>
      </c>
      <c r="H19">
        <v>6400</v>
      </c>
      <c r="I19">
        <v>7685000</v>
      </c>
      <c r="J19">
        <v>129.0667</v>
      </c>
      <c r="K19">
        <v>6</v>
      </c>
      <c r="L19">
        <v>6</v>
      </c>
      <c r="M19">
        <v>12</v>
      </c>
      <c r="N19">
        <v>-1.05</v>
      </c>
      <c r="O19">
        <v>-1.21</v>
      </c>
      <c r="P19">
        <v>431.30630000000002</v>
      </c>
      <c r="Q19">
        <v>1817</v>
      </c>
      <c r="R19">
        <v>3301489</v>
      </c>
      <c r="S19">
        <v>7.6849999999999996</v>
      </c>
      <c r="T19">
        <v>59.059229999999999</v>
      </c>
      <c r="U19">
        <v>1.0858719999999999</v>
      </c>
      <c r="V19">
        <v>1</v>
      </c>
      <c r="W19">
        <v>0</v>
      </c>
      <c r="X19">
        <v>0</v>
      </c>
    </row>
    <row r="20" spans="1:24">
      <c r="A20">
        <v>6</v>
      </c>
      <c r="B20" t="s">
        <v>1018</v>
      </c>
      <c r="C20">
        <v>6</v>
      </c>
      <c r="D20">
        <v>2000</v>
      </c>
      <c r="E20">
        <v>17.320160000000001</v>
      </c>
      <c r="F20">
        <v>17.320160000000001</v>
      </c>
      <c r="G20">
        <v>77</v>
      </c>
      <c r="H20">
        <v>5929</v>
      </c>
      <c r="I20">
        <v>8049000</v>
      </c>
      <c r="J20">
        <v>139.41</v>
      </c>
      <c r="K20">
        <v>5</v>
      </c>
      <c r="L20">
        <v>6</v>
      </c>
      <c r="M20">
        <v>11</v>
      </c>
      <c r="N20">
        <v>-0.96</v>
      </c>
      <c r="O20">
        <v>-0.51</v>
      </c>
      <c r="P20">
        <v>655.06489999999997</v>
      </c>
      <c r="Q20">
        <v>2571</v>
      </c>
      <c r="R20">
        <v>6610041</v>
      </c>
      <c r="S20">
        <v>8.0489999999999995</v>
      </c>
      <c r="T20">
        <v>64.7864</v>
      </c>
      <c r="U20">
        <v>1</v>
      </c>
      <c r="V20">
        <v>0</v>
      </c>
      <c r="W20">
        <v>1</v>
      </c>
      <c r="X20">
        <v>0</v>
      </c>
    </row>
    <row r="21" spans="1:24">
      <c r="A21">
        <v>6</v>
      </c>
      <c r="B21" t="s">
        <v>1018</v>
      </c>
      <c r="C21">
        <v>6</v>
      </c>
      <c r="D21">
        <v>2003</v>
      </c>
      <c r="E21">
        <v>36.039110000000001</v>
      </c>
      <c r="F21">
        <v>34.0458</v>
      </c>
      <c r="G21">
        <v>75</v>
      </c>
      <c r="H21">
        <v>5625</v>
      </c>
      <c r="I21">
        <v>8233000</v>
      </c>
      <c r="J21">
        <v>280.29910000000001</v>
      </c>
      <c r="K21">
        <v>5</v>
      </c>
      <c r="L21">
        <v>6</v>
      </c>
      <c r="M21">
        <v>11</v>
      </c>
      <c r="N21">
        <v>-0.86</v>
      </c>
      <c r="O21">
        <v>-0.72</v>
      </c>
      <c r="P21">
        <v>818.98900000000003</v>
      </c>
      <c r="Q21">
        <v>3417</v>
      </c>
      <c r="R21">
        <v>11675889</v>
      </c>
      <c r="S21">
        <v>8.2330000000000005</v>
      </c>
      <c r="T21">
        <v>67.782290000000003</v>
      </c>
      <c r="U21">
        <v>0.94469000000000003</v>
      </c>
      <c r="V21">
        <v>0</v>
      </c>
      <c r="W21">
        <v>0</v>
      </c>
      <c r="X21">
        <v>1</v>
      </c>
    </row>
    <row r="22" spans="1:24">
      <c r="A22">
        <v>7</v>
      </c>
      <c r="B22" t="s">
        <v>1019</v>
      </c>
      <c r="C22">
        <v>7</v>
      </c>
      <c r="D22">
        <v>1995</v>
      </c>
      <c r="E22">
        <v>16.366910000000001</v>
      </c>
      <c r="F22">
        <v>17.772369999999999</v>
      </c>
      <c r="G22">
        <v>20</v>
      </c>
      <c r="H22">
        <v>400</v>
      </c>
      <c r="I22">
        <v>278000</v>
      </c>
      <c r="J22">
        <v>4.9407199999999998</v>
      </c>
      <c r="K22">
        <v>2</v>
      </c>
      <c r="L22">
        <v>1</v>
      </c>
      <c r="M22">
        <v>3</v>
      </c>
      <c r="N22">
        <v>0.71</v>
      </c>
      <c r="O22">
        <v>0.68</v>
      </c>
      <c r="P22">
        <v>13512.47</v>
      </c>
      <c r="Q22">
        <v>14823</v>
      </c>
      <c r="R22" s="87">
        <v>220000000</v>
      </c>
      <c r="S22">
        <v>0.27800000000000002</v>
      </c>
      <c r="T22">
        <v>7.7284000000000005E-2</v>
      </c>
      <c r="U22">
        <v>1.0858719999999999</v>
      </c>
      <c r="V22">
        <v>1</v>
      </c>
      <c r="W22">
        <v>0</v>
      </c>
      <c r="X22">
        <v>0</v>
      </c>
    </row>
    <row r="23" spans="1:24">
      <c r="A23">
        <v>7</v>
      </c>
      <c r="B23" t="s">
        <v>1019</v>
      </c>
      <c r="C23">
        <v>7</v>
      </c>
      <c r="D23">
        <v>2000</v>
      </c>
      <c r="E23">
        <v>18.065570000000001</v>
      </c>
      <c r="F23">
        <v>18.065570000000001</v>
      </c>
      <c r="G23">
        <v>14</v>
      </c>
      <c r="H23">
        <v>196</v>
      </c>
      <c r="I23">
        <v>305000</v>
      </c>
      <c r="J23">
        <v>5.5099989999999996</v>
      </c>
      <c r="K23">
        <v>1</v>
      </c>
      <c r="L23">
        <v>1</v>
      </c>
      <c r="M23">
        <v>2</v>
      </c>
      <c r="N23">
        <v>1.2</v>
      </c>
      <c r="O23">
        <v>0.95</v>
      </c>
      <c r="P23">
        <v>16000</v>
      </c>
      <c r="Q23">
        <v>16793</v>
      </c>
      <c r="R23" s="87">
        <v>282000000</v>
      </c>
      <c r="S23">
        <v>0.30499999999999999</v>
      </c>
      <c r="T23">
        <v>9.3024999999999997E-2</v>
      </c>
      <c r="U23">
        <v>1</v>
      </c>
      <c r="V23">
        <v>0</v>
      </c>
      <c r="W23">
        <v>1</v>
      </c>
      <c r="X23">
        <v>0</v>
      </c>
    </row>
    <row r="24" spans="1:24">
      <c r="A24">
        <v>8</v>
      </c>
      <c r="B24" t="s">
        <v>1020</v>
      </c>
      <c r="C24">
        <v>8</v>
      </c>
      <c r="D24">
        <v>1995</v>
      </c>
      <c r="E24">
        <v>85.181979999999996</v>
      </c>
      <c r="F24">
        <v>92.496740000000003</v>
      </c>
      <c r="G24">
        <v>14</v>
      </c>
      <c r="H24">
        <v>196</v>
      </c>
      <c r="I24">
        <v>577000</v>
      </c>
      <c r="J24">
        <v>53.370620000000002</v>
      </c>
      <c r="K24">
        <v>6</v>
      </c>
      <c r="L24">
        <v>6</v>
      </c>
      <c r="M24">
        <v>12</v>
      </c>
      <c r="N24">
        <v>0.45</v>
      </c>
      <c r="O24">
        <v>0.61</v>
      </c>
      <c r="P24">
        <v>11008.28</v>
      </c>
      <c r="Q24">
        <v>14647</v>
      </c>
      <c r="R24" s="87">
        <v>215000000</v>
      </c>
      <c r="S24">
        <v>0.57699999999999996</v>
      </c>
      <c r="T24">
        <v>0.33292899999999997</v>
      </c>
      <c r="U24">
        <v>1.0858719999999999</v>
      </c>
      <c r="V24">
        <v>1</v>
      </c>
      <c r="W24">
        <v>0</v>
      </c>
      <c r="X24">
        <v>0</v>
      </c>
    </row>
    <row r="25" spans="1:24">
      <c r="A25">
        <v>8</v>
      </c>
      <c r="B25" t="s">
        <v>1020</v>
      </c>
      <c r="C25">
        <v>8</v>
      </c>
      <c r="D25">
        <v>2000</v>
      </c>
      <c r="E25">
        <v>73.268649999999994</v>
      </c>
      <c r="F25">
        <v>73.268649999999994</v>
      </c>
      <c r="G25">
        <v>13</v>
      </c>
      <c r="H25">
        <v>169</v>
      </c>
      <c r="I25">
        <v>670000</v>
      </c>
      <c r="J25">
        <v>49.09</v>
      </c>
      <c r="K25">
        <v>6</v>
      </c>
      <c r="L25">
        <v>7</v>
      </c>
      <c r="M25">
        <v>13</v>
      </c>
      <c r="N25">
        <v>0.74</v>
      </c>
      <c r="O25">
        <v>1.02</v>
      </c>
      <c r="P25">
        <v>11896.55</v>
      </c>
      <c r="Q25">
        <v>15870</v>
      </c>
      <c r="R25" s="87">
        <v>252000000</v>
      </c>
      <c r="S25">
        <v>0.67</v>
      </c>
      <c r="T25">
        <v>0.44890000000000002</v>
      </c>
      <c r="U25">
        <v>1</v>
      </c>
      <c r="V25">
        <v>0</v>
      </c>
      <c r="W25">
        <v>1</v>
      </c>
      <c r="X25">
        <v>0</v>
      </c>
    </row>
    <row r="26" spans="1:24">
      <c r="A26">
        <v>8</v>
      </c>
      <c r="B26" t="s">
        <v>1020</v>
      </c>
      <c r="C26">
        <v>8</v>
      </c>
      <c r="D26">
        <v>2003</v>
      </c>
      <c r="E26">
        <v>52.735729999999997</v>
      </c>
      <c r="F26">
        <v>49.818930000000002</v>
      </c>
      <c r="G26">
        <v>12</v>
      </c>
      <c r="H26">
        <v>144</v>
      </c>
      <c r="I26">
        <v>711662</v>
      </c>
      <c r="J26">
        <v>35.471080000000001</v>
      </c>
      <c r="K26">
        <v>5</v>
      </c>
      <c r="L26">
        <v>5</v>
      </c>
      <c r="M26">
        <v>10</v>
      </c>
      <c r="N26">
        <v>0.79</v>
      </c>
      <c r="O26">
        <v>0.85</v>
      </c>
      <c r="P26">
        <v>12752.26</v>
      </c>
      <c r="Q26">
        <v>18052</v>
      </c>
      <c r="R26" s="87">
        <v>326000000</v>
      </c>
      <c r="S26">
        <v>0.71199999999999997</v>
      </c>
      <c r="T26">
        <v>0.50694399999999995</v>
      </c>
      <c r="U26">
        <v>0.94469000000000003</v>
      </c>
      <c r="V26">
        <v>0</v>
      </c>
      <c r="W26">
        <v>0</v>
      </c>
      <c r="X26">
        <v>1</v>
      </c>
    </row>
    <row r="27" spans="1:24">
      <c r="A27">
        <v>9</v>
      </c>
      <c r="B27" t="s">
        <v>1021</v>
      </c>
      <c r="C27">
        <v>9</v>
      </c>
      <c r="D27">
        <v>1995</v>
      </c>
      <c r="E27">
        <v>10.757350000000001</v>
      </c>
      <c r="F27">
        <v>11.68111</v>
      </c>
      <c r="G27">
        <v>75</v>
      </c>
      <c r="H27">
        <v>5625</v>
      </c>
      <c r="I27">
        <v>120130000</v>
      </c>
      <c r="J27">
        <v>1403.251</v>
      </c>
      <c r="K27">
        <v>4</v>
      </c>
      <c r="L27">
        <v>3</v>
      </c>
      <c r="M27">
        <v>7</v>
      </c>
      <c r="N27">
        <v>-0.67</v>
      </c>
      <c r="O27">
        <v>-0.54</v>
      </c>
      <c r="P27">
        <v>342.94279999999998</v>
      </c>
      <c r="Q27">
        <v>1320</v>
      </c>
      <c r="R27">
        <v>1742400</v>
      </c>
      <c r="S27">
        <v>120.13</v>
      </c>
      <c r="T27">
        <v>14431.22</v>
      </c>
      <c r="U27">
        <v>1.0858719999999999</v>
      </c>
      <c r="V27">
        <v>1</v>
      </c>
      <c r="W27">
        <v>0</v>
      </c>
      <c r="X27">
        <v>0</v>
      </c>
    </row>
    <row r="28" spans="1:24">
      <c r="A28">
        <v>9</v>
      </c>
      <c r="B28" t="s">
        <v>1021</v>
      </c>
      <c r="C28">
        <v>9</v>
      </c>
      <c r="D28">
        <v>2000</v>
      </c>
      <c r="E28">
        <v>8.9380389999999998</v>
      </c>
      <c r="F28">
        <v>8.9380389999999998</v>
      </c>
      <c r="G28">
        <v>54</v>
      </c>
      <c r="H28">
        <v>2916</v>
      </c>
      <c r="I28">
        <v>131050000</v>
      </c>
      <c r="J28">
        <v>1171.33</v>
      </c>
      <c r="K28">
        <v>4</v>
      </c>
      <c r="L28">
        <v>3</v>
      </c>
      <c r="M28">
        <v>7</v>
      </c>
      <c r="N28">
        <v>-0.47</v>
      </c>
      <c r="O28">
        <v>-0.16</v>
      </c>
      <c r="P28">
        <v>347.38220000000001</v>
      </c>
      <c r="Q28">
        <v>1495</v>
      </c>
      <c r="R28">
        <v>2235025</v>
      </c>
      <c r="S28">
        <v>131.05000000000001</v>
      </c>
      <c r="T28">
        <v>17174.099999999999</v>
      </c>
      <c r="U28">
        <v>1</v>
      </c>
      <c r="V28">
        <v>0</v>
      </c>
      <c r="W28">
        <v>1</v>
      </c>
      <c r="X28">
        <v>0</v>
      </c>
    </row>
    <row r="29" spans="1:24">
      <c r="A29">
        <v>9</v>
      </c>
      <c r="B29" t="s">
        <v>1021</v>
      </c>
      <c r="C29">
        <v>9</v>
      </c>
      <c r="D29">
        <v>2003</v>
      </c>
      <c r="E29">
        <v>10.09254</v>
      </c>
      <c r="F29">
        <v>9.5343250000000008</v>
      </c>
      <c r="G29">
        <v>46</v>
      </c>
      <c r="H29">
        <v>2116</v>
      </c>
      <c r="I29">
        <v>138066400</v>
      </c>
      <c r="J29">
        <v>1316.366</v>
      </c>
      <c r="K29">
        <v>4</v>
      </c>
      <c r="L29">
        <v>4</v>
      </c>
      <c r="M29">
        <v>8</v>
      </c>
      <c r="N29">
        <v>-0.64</v>
      </c>
      <c r="O29">
        <v>-1.1000000000000001</v>
      </c>
      <c r="P29">
        <v>355.20830000000001</v>
      </c>
      <c r="Q29">
        <v>1672</v>
      </c>
      <c r="R29">
        <v>2795584</v>
      </c>
      <c r="S29">
        <v>138.066</v>
      </c>
      <c r="T29">
        <v>19062.22</v>
      </c>
      <c r="U29">
        <v>0.94469000000000003</v>
      </c>
      <c r="V29">
        <v>0</v>
      </c>
      <c r="W29">
        <v>0</v>
      </c>
      <c r="X29">
        <v>1</v>
      </c>
    </row>
    <row r="30" spans="1:24">
      <c r="A30">
        <v>10</v>
      </c>
      <c r="B30" t="s">
        <v>1022</v>
      </c>
      <c r="C30">
        <v>10</v>
      </c>
      <c r="D30">
        <v>1995</v>
      </c>
      <c r="E30">
        <v>21.872669999999999</v>
      </c>
      <c r="F30">
        <v>23.750920000000001</v>
      </c>
      <c r="G30">
        <v>15</v>
      </c>
      <c r="H30">
        <v>225</v>
      </c>
      <c r="I30">
        <v>10194000</v>
      </c>
      <c r="J30">
        <v>242.11689999999999</v>
      </c>
      <c r="K30">
        <v>5</v>
      </c>
      <c r="L30">
        <v>5</v>
      </c>
      <c r="M30">
        <v>10</v>
      </c>
      <c r="N30">
        <v>-1.2</v>
      </c>
      <c r="O30">
        <v>-1.08</v>
      </c>
      <c r="P30">
        <v>1488.376</v>
      </c>
      <c r="Q30">
        <v>3476</v>
      </c>
      <c r="R30">
        <v>12082576</v>
      </c>
      <c r="S30">
        <v>10.194000000000001</v>
      </c>
      <c r="T30">
        <v>103.91759999999999</v>
      </c>
      <c r="U30">
        <v>1.0858719999999999</v>
      </c>
      <c r="V30">
        <v>1</v>
      </c>
      <c r="W30">
        <v>0</v>
      </c>
      <c r="X30">
        <v>0</v>
      </c>
    </row>
    <row r="31" spans="1:24">
      <c r="A31">
        <v>10</v>
      </c>
      <c r="B31" t="s">
        <v>1022</v>
      </c>
      <c r="C31">
        <v>10</v>
      </c>
      <c r="D31">
        <v>2000</v>
      </c>
      <c r="E31">
        <v>3.96102</v>
      </c>
      <c r="F31">
        <v>3.96102</v>
      </c>
      <c r="G31">
        <v>14</v>
      </c>
      <c r="H31">
        <v>196</v>
      </c>
      <c r="I31">
        <v>10005000</v>
      </c>
      <c r="J31">
        <v>39.630009999999999</v>
      </c>
      <c r="K31">
        <v>6</v>
      </c>
      <c r="L31">
        <v>6</v>
      </c>
      <c r="M31">
        <v>12</v>
      </c>
      <c r="N31">
        <v>-0.92</v>
      </c>
      <c r="O31">
        <v>-2.7</v>
      </c>
      <c r="P31">
        <v>1141.154</v>
      </c>
      <c r="Q31">
        <v>4802</v>
      </c>
      <c r="R31">
        <v>23059204</v>
      </c>
      <c r="S31">
        <v>10.005000000000001</v>
      </c>
      <c r="T31">
        <v>100.1</v>
      </c>
      <c r="U31">
        <v>1</v>
      </c>
      <c r="V31">
        <v>0</v>
      </c>
      <c r="W31">
        <v>1</v>
      </c>
      <c r="X31">
        <v>0</v>
      </c>
    </row>
    <row r="32" spans="1:24">
      <c r="A32">
        <v>10</v>
      </c>
      <c r="B32" t="s">
        <v>1022</v>
      </c>
      <c r="C32">
        <v>10</v>
      </c>
      <c r="D32">
        <v>2003</v>
      </c>
      <c r="E32">
        <v>3.232478</v>
      </c>
      <c r="F32">
        <v>3.0536910000000002</v>
      </c>
      <c r="G32">
        <v>13</v>
      </c>
      <c r="H32">
        <v>169</v>
      </c>
      <c r="I32">
        <v>9880963</v>
      </c>
      <c r="J32">
        <v>30.17352</v>
      </c>
      <c r="K32">
        <v>6</v>
      </c>
      <c r="L32">
        <v>6</v>
      </c>
      <c r="M32">
        <v>12</v>
      </c>
      <c r="N32">
        <v>-0.99</v>
      </c>
      <c r="O32">
        <v>-1.72</v>
      </c>
      <c r="P32">
        <v>1684.749</v>
      </c>
      <c r="Q32">
        <v>5729</v>
      </c>
      <c r="R32">
        <v>32821441</v>
      </c>
      <c r="S32">
        <v>9.8810000000000002</v>
      </c>
      <c r="T32">
        <v>97.634159999999994</v>
      </c>
      <c r="U32">
        <v>0.94469000000000003</v>
      </c>
      <c r="V32">
        <v>0</v>
      </c>
      <c r="W32">
        <v>0</v>
      </c>
      <c r="X32">
        <v>1</v>
      </c>
    </row>
    <row r="33" spans="1:24">
      <c r="A33">
        <v>11</v>
      </c>
      <c r="B33" t="s">
        <v>1023</v>
      </c>
      <c r="C33">
        <v>11</v>
      </c>
      <c r="D33">
        <v>1995</v>
      </c>
      <c r="E33">
        <v>85.681290000000004</v>
      </c>
      <c r="F33">
        <v>93.038929999999993</v>
      </c>
      <c r="G33">
        <v>36</v>
      </c>
      <c r="H33">
        <v>1296</v>
      </c>
      <c r="I33">
        <v>216500</v>
      </c>
      <c r="J33">
        <v>20.189450000000001</v>
      </c>
      <c r="K33">
        <v>1</v>
      </c>
      <c r="L33">
        <v>1</v>
      </c>
      <c r="M33">
        <v>2</v>
      </c>
      <c r="N33">
        <v>-0.39</v>
      </c>
      <c r="O33">
        <v>0.12</v>
      </c>
      <c r="P33">
        <v>3106.6480000000001</v>
      </c>
      <c r="Q33">
        <v>4911</v>
      </c>
      <c r="R33">
        <v>24117921</v>
      </c>
      <c r="S33">
        <v>0.217</v>
      </c>
      <c r="T33">
        <v>4.7088999999999999E-2</v>
      </c>
      <c r="U33">
        <v>1.0858719999999999</v>
      </c>
      <c r="V33">
        <v>1</v>
      </c>
      <c r="W33">
        <v>0</v>
      </c>
      <c r="X33">
        <v>0</v>
      </c>
    </row>
    <row r="34" spans="1:24">
      <c r="A34">
        <v>11</v>
      </c>
      <c r="B34" t="s">
        <v>1023</v>
      </c>
      <c r="C34">
        <v>11</v>
      </c>
      <c r="D34">
        <v>2000</v>
      </c>
      <c r="E34">
        <v>58.686950000000003</v>
      </c>
      <c r="F34">
        <v>58.686950000000003</v>
      </c>
      <c r="G34">
        <v>34</v>
      </c>
      <c r="H34">
        <v>1156</v>
      </c>
      <c r="I34">
        <v>249800</v>
      </c>
      <c r="J34">
        <v>14.67174</v>
      </c>
      <c r="K34">
        <v>1</v>
      </c>
      <c r="L34">
        <v>1</v>
      </c>
      <c r="M34">
        <v>2</v>
      </c>
      <c r="N34">
        <v>-0.28000000000000003</v>
      </c>
      <c r="O34">
        <v>-0.17</v>
      </c>
      <c r="P34">
        <v>3330.665</v>
      </c>
      <c r="Q34">
        <v>5869</v>
      </c>
      <c r="R34">
        <v>34445161</v>
      </c>
      <c r="S34">
        <v>0.25</v>
      </c>
      <c r="T34">
        <v>6.25E-2</v>
      </c>
      <c r="U34">
        <v>1</v>
      </c>
      <c r="V34">
        <v>0</v>
      </c>
      <c r="W34">
        <v>1</v>
      </c>
      <c r="X34">
        <v>0</v>
      </c>
    </row>
    <row r="35" spans="1:24">
      <c r="A35">
        <v>11</v>
      </c>
      <c r="B35" t="s">
        <v>1023</v>
      </c>
      <c r="C35">
        <v>11</v>
      </c>
      <c r="D35">
        <v>2003</v>
      </c>
      <c r="E35">
        <v>44.026310000000002</v>
      </c>
      <c r="F35">
        <v>41.591230000000003</v>
      </c>
      <c r="G35">
        <v>33</v>
      </c>
      <c r="H35">
        <v>1089</v>
      </c>
      <c r="I35">
        <v>273700</v>
      </c>
      <c r="J35">
        <v>11.396000000000001</v>
      </c>
      <c r="K35">
        <v>2</v>
      </c>
      <c r="L35">
        <v>1</v>
      </c>
      <c r="M35">
        <v>3</v>
      </c>
      <c r="N35">
        <v>0.06</v>
      </c>
      <c r="O35">
        <v>0.23</v>
      </c>
      <c r="P35">
        <v>3532.2339999999999</v>
      </c>
      <c r="Q35">
        <v>6113</v>
      </c>
      <c r="R35">
        <v>37368769</v>
      </c>
      <c r="S35">
        <v>0.27400000000000002</v>
      </c>
      <c r="T35">
        <v>7.5076000000000004E-2</v>
      </c>
      <c r="U35">
        <v>0.94469000000000003</v>
      </c>
      <c r="V35">
        <v>0</v>
      </c>
      <c r="W35">
        <v>0</v>
      </c>
      <c r="X35">
        <v>1</v>
      </c>
    </row>
    <row r="36" spans="1:24">
      <c r="A36">
        <v>12</v>
      </c>
      <c r="B36" t="s">
        <v>1024</v>
      </c>
      <c r="C36">
        <v>12</v>
      </c>
      <c r="D36">
        <v>1995</v>
      </c>
      <c r="E36">
        <v>51.276049999999998</v>
      </c>
      <c r="F36">
        <v>55.67924</v>
      </c>
      <c r="G36">
        <v>102</v>
      </c>
      <c r="H36">
        <v>10404</v>
      </c>
      <c r="I36">
        <v>5470000</v>
      </c>
      <c r="J36">
        <v>304.56540000000001</v>
      </c>
      <c r="K36">
        <v>2</v>
      </c>
      <c r="L36">
        <v>2</v>
      </c>
      <c r="M36">
        <v>4</v>
      </c>
      <c r="N36">
        <v>0.01</v>
      </c>
      <c r="O36">
        <v>0.16</v>
      </c>
      <c r="P36">
        <v>398.85969999999998</v>
      </c>
      <c r="Q36">
        <v>868</v>
      </c>
      <c r="R36">
        <v>753424</v>
      </c>
      <c r="S36">
        <v>5.47</v>
      </c>
      <c r="T36">
        <v>29.9209</v>
      </c>
      <c r="U36">
        <v>1.0858719999999999</v>
      </c>
      <c r="V36">
        <v>1</v>
      </c>
      <c r="W36">
        <v>0</v>
      </c>
      <c r="X36">
        <v>0</v>
      </c>
    </row>
    <row r="37" spans="1:24">
      <c r="A37">
        <v>12</v>
      </c>
      <c r="B37" t="s">
        <v>1024</v>
      </c>
      <c r="C37">
        <v>12</v>
      </c>
      <c r="D37">
        <v>2000</v>
      </c>
      <c r="E37">
        <v>38.344589999999997</v>
      </c>
      <c r="F37">
        <v>38.344589999999997</v>
      </c>
      <c r="G37">
        <v>95</v>
      </c>
      <c r="H37">
        <v>9025</v>
      </c>
      <c r="I37">
        <v>6222000</v>
      </c>
      <c r="J37">
        <v>238.58</v>
      </c>
      <c r="K37">
        <v>2</v>
      </c>
      <c r="L37">
        <v>2</v>
      </c>
      <c r="M37">
        <v>4</v>
      </c>
      <c r="N37">
        <v>0.05</v>
      </c>
      <c r="O37">
        <v>-0.04</v>
      </c>
      <c r="P37">
        <v>362.39780000000002</v>
      </c>
      <c r="Q37">
        <v>973</v>
      </c>
      <c r="R37">
        <v>946729</v>
      </c>
      <c r="S37">
        <v>6.2220000000000004</v>
      </c>
      <c r="T37">
        <v>38.713279999999997</v>
      </c>
      <c r="U37">
        <v>1</v>
      </c>
      <c r="V37">
        <v>0</v>
      </c>
      <c r="W37">
        <v>1</v>
      </c>
      <c r="X37">
        <v>0</v>
      </c>
    </row>
    <row r="38" spans="1:24">
      <c r="A38">
        <v>12</v>
      </c>
      <c r="B38" t="s">
        <v>1024</v>
      </c>
      <c r="C38">
        <v>12</v>
      </c>
      <c r="D38">
        <v>2003</v>
      </c>
      <c r="E38">
        <v>43.708199999999998</v>
      </c>
      <c r="F38">
        <v>41.290709999999997</v>
      </c>
      <c r="G38">
        <v>91</v>
      </c>
      <c r="H38">
        <v>8281</v>
      </c>
      <c r="I38">
        <v>6720250</v>
      </c>
      <c r="J38">
        <v>277.47359999999998</v>
      </c>
      <c r="K38">
        <v>2</v>
      </c>
      <c r="L38">
        <v>2</v>
      </c>
      <c r="M38">
        <v>4</v>
      </c>
      <c r="N38">
        <v>-0.44</v>
      </c>
      <c r="O38">
        <v>-0.49</v>
      </c>
      <c r="P38">
        <v>500.03789999999998</v>
      </c>
      <c r="Q38">
        <v>1044</v>
      </c>
      <c r="R38">
        <v>1089936</v>
      </c>
      <c r="S38">
        <v>6.72</v>
      </c>
      <c r="T38">
        <v>45.1584</v>
      </c>
      <c r="U38">
        <v>0.94469000000000003</v>
      </c>
      <c r="V38">
        <v>0</v>
      </c>
      <c r="W38">
        <v>0</v>
      </c>
      <c r="X38">
        <v>1</v>
      </c>
    </row>
    <row r="39" spans="1:24">
      <c r="A39">
        <v>13</v>
      </c>
      <c r="B39" t="s">
        <v>1025</v>
      </c>
      <c r="C39">
        <v>13</v>
      </c>
      <c r="D39">
        <v>1995</v>
      </c>
      <c r="E39">
        <v>96.069230000000005</v>
      </c>
      <c r="F39">
        <v>104.3189</v>
      </c>
      <c r="G39">
        <v>70</v>
      </c>
      <c r="H39">
        <v>4900</v>
      </c>
      <c r="I39">
        <v>7482000</v>
      </c>
      <c r="J39">
        <v>780.51409999999998</v>
      </c>
      <c r="K39">
        <v>4</v>
      </c>
      <c r="L39">
        <v>2</v>
      </c>
      <c r="M39">
        <v>6</v>
      </c>
      <c r="N39">
        <v>-0.44</v>
      </c>
      <c r="O39">
        <v>0.82</v>
      </c>
      <c r="P39">
        <v>974.58050000000003</v>
      </c>
      <c r="Q39">
        <v>2267</v>
      </c>
      <c r="R39">
        <v>5139289</v>
      </c>
      <c r="S39">
        <v>7.4820000000000002</v>
      </c>
      <c r="T39">
        <v>55.980319999999999</v>
      </c>
      <c r="U39">
        <v>1.0858719999999999</v>
      </c>
      <c r="V39">
        <v>1</v>
      </c>
      <c r="W39">
        <v>0</v>
      </c>
      <c r="X39">
        <v>0</v>
      </c>
    </row>
    <row r="40" spans="1:24">
      <c r="A40">
        <v>13</v>
      </c>
      <c r="B40" t="s">
        <v>1025</v>
      </c>
      <c r="C40">
        <v>13</v>
      </c>
      <c r="D40">
        <v>2000</v>
      </c>
      <c r="E40">
        <v>57.067450000000001</v>
      </c>
      <c r="F40">
        <v>57.067450000000001</v>
      </c>
      <c r="G40">
        <v>59</v>
      </c>
      <c r="H40">
        <v>3481</v>
      </c>
      <c r="I40">
        <v>8317000</v>
      </c>
      <c r="J40">
        <v>474.63</v>
      </c>
      <c r="K40">
        <v>3</v>
      </c>
      <c r="L40">
        <v>1</v>
      </c>
      <c r="M40">
        <v>4</v>
      </c>
      <c r="N40">
        <v>-0.4</v>
      </c>
      <c r="O40">
        <v>0.67</v>
      </c>
      <c r="P40">
        <v>1009.722</v>
      </c>
      <c r="Q40">
        <v>2400</v>
      </c>
      <c r="R40">
        <v>5760000</v>
      </c>
      <c r="S40">
        <v>8.3170000000000002</v>
      </c>
      <c r="T40">
        <v>69.172489999999996</v>
      </c>
      <c r="U40">
        <v>1</v>
      </c>
      <c r="V40">
        <v>0</v>
      </c>
      <c r="W40">
        <v>1</v>
      </c>
      <c r="X40">
        <v>0</v>
      </c>
    </row>
    <row r="41" spans="1:24">
      <c r="A41">
        <v>13</v>
      </c>
      <c r="B41" t="s">
        <v>1025</v>
      </c>
      <c r="C41">
        <v>13</v>
      </c>
      <c r="D41">
        <v>2003</v>
      </c>
      <c r="E41">
        <v>105.47799999999999</v>
      </c>
      <c r="F41">
        <v>99.644040000000004</v>
      </c>
      <c r="G41">
        <v>53</v>
      </c>
      <c r="H41">
        <v>2809</v>
      </c>
      <c r="I41">
        <v>8814158</v>
      </c>
      <c r="J41">
        <v>878.26260000000002</v>
      </c>
      <c r="K41">
        <v>3</v>
      </c>
      <c r="L41">
        <v>3</v>
      </c>
      <c r="M41">
        <v>6</v>
      </c>
      <c r="N41">
        <v>-0.57999999999999996</v>
      </c>
      <c r="O41">
        <v>-0.04</v>
      </c>
      <c r="P41">
        <v>867.0204</v>
      </c>
      <c r="Q41">
        <v>2451</v>
      </c>
      <c r="R41">
        <v>6007401</v>
      </c>
      <c r="S41">
        <v>8.8140000000000001</v>
      </c>
      <c r="T41">
        <v>77.686599999999999</v>
      </c>
      <c r="U41">
        <v>0.94469000000000003</v>
      </c>
      <c r="V41">
        <v>0</v>
      </c>
      <c r="W41">
        <v>0</v>
      </c>
      <c r="X41">
        <v>1</v>
      </c>
    </row>
    <row r="42" spans="1:24">
      <c r="A42">
        <v>14</v>
      </c>
      <c r="B42" t="s">
        <v>1026</v>
      </c>
      <c r="C42">
        <v>14</v>
      </c>
      <c r="D42">
        <v>1995</v>
      </c>
      <c r="E42">
        <v>60.280940000000001</v>
      </c>
      <c r="F42">
        <v>65.457400000000007</v>
      </c>
      <c r="G42">
        <v>50</v>
      </c>
      <c r="H42">
        <v>2500</v>
      </c>
      <c r="I42">
        <v>1495000</v>
      </c>
      <c r="J42">
        <v>97.858810000000005</v>
      </c>
      <c r="K42">
        <v>2</v>
      </c>
      <c r="L42">
        <v>2</v>
      </c>
      <c r="M42">
        <v>4</v>
      </c>
      <c r="N42">
        <v>0.33</v>
      </c>
      <c r="O42">
        <v>0.69</v>
      </c>
      <c r="P42">
        <v>3467.39</v>
      </c>
      <c r="Q42">
        <v>5836</v>
      </c>
      <c r="R42">
        <v>34058896</v>
      </c>
      <c r="S42">
        <v>1.4950000000000001</v>
      </c>
      <c r="T42">
        <v>2.2350249999999998</v>
      </c>
      <c r="U42">
        <v>1.0858719999999999</v>
      </c>
      <c r="V42">
        <v>1</v>
      </c>
      <c r="W42">
        <v>0</v>
      </c>
      <c r="X42">
        <v>0</v>
      </c>
    </row>
    <row r="43" spans="1:24">
      <c r="A43">
        <v>14</v>
      </c>
      <c r="B43" t="s">
        <v>1026</v>
      </c>
      <c r="C43">
        <v>14</v>
      </c>
      <c r="D43">
        <v>2000</v>
      </c>
      <c r="E43">
        <v>18.334330000000001</v>
      </c>
      <c r="F43">
        <v>18.334330000000001</v>
      </c>
      <c r="G43">
        <v>74</v>
      </c>
      <c r="H43">
        <v>5476</v>
      </c>
      <c r="I43">
        <v>1675000</v>
      </c>
      <c r="J43">
        <v>30.71</v>
      </c>
      <c r="K43">
        <v>2</v>
      </c>
      <c r="L43">
        <v>2</v>
      </c>
      <c r="M43">
        <v>4</v>
      </c>
      <c r="N43">
        <v>0.98</v>
      </c>
      <c r="O43">
        <v>0.79</v>
      </c>
      <c r="P43">
        <v>3134.8330000000001</v>
      </c>
      <c r="Q43">
        <v>7525</v>
      </c>
      <c r="R43">
        <v>56625625</v>
      </c>
      <c r="S43">
        <v>1.675</v>
      </c>
      <c r="T43">
        <v>2.805625</v>
      </c>
      <c r="U43">
        <v>1</v>
      </c>
      <c r="V43">
        <v>0</v>
      </c>
      <c r="W43">
        <v>1</v>
      </c>
      <c r="X43">
        <v>0</v>
      </c>
    </row>
    <row r="44" spans="1:24">
      <c r="A44">
        <v>14</v>
      </c>
      <c r="B44" t="s">
        <v>1026</v>
      </c>
      <c r="C44">
        <v>14</v>
      </c>
      <c r="D44">
        <v>2003</v>
      </c>
      <c r="E44">
        <v>17.451699999999999</v>
      </c>
      <c r="F44">
        <v>16.486450000000001</v>
      </c>
      <c r="G44">
        <v>82</v>
      </c>
      <c r="H44">
        <v>6724</v>
      </c>
      <c r="I44">
        <v>1722468</v>
      </c>
      <c r="J44">
        <v>28.389669999999999</v>
      </c>
      <c r="K44">
        <v>2</v>
      </c>
      <c r="L44">
        <v>2</v>
      </c>
      <c r="M44">
        <v>4</v>
      </c>
      <c r="N44">
        <v>0.87</v>
      </c>
      <c r="O44">
        <v>0.87</v>
      </c>
      <c r="P44">
        <v>4129.933</v>
      </c>
      <c r="Q44">
        <v>8232</v>
      </c>
      <c r="R44">
        <v>67765824</v>
      </c>
      <c r="S44">
        <v>1.722</v>
      </c>
      <c r="T44">
        <v>2.965284</v>
      </c>
      <c r="U44">
        <v>0.94469000000000003</v>
      </c>
      <c r="V44">
        <v>0</v>
      </c>
      <c r="W44">
        <v>0</v>
      </c>
      <c r="X44">
        <v>1</v>
      </c>
    </row>
    <row r="45" spans="1:24">
      <c r="A45">
        <v>15</v>
      </c>
      <c r="B45" t="s">
        <v>153</v>
      </c>
      <c r="C45">
        <v>15</v>
      </c>
      <c r="D45">
        <v>1995</v>
      </c>
      <c r="E45">
        <v>1.712555</v>
      </c>
      <c r="F45">
        <v>1.8596159999999999</v>
      </c>
      <c r="G45">
        <v>41</v>
      </c>
      <c r="H45">
        <v>1681</v>
      </c>
      <c r="I45">
        <v>159481000</v>
      </c>
      <c r="J45">
        <v>296.57339999999999</v>
      </c>
      <c r="K45">
        <v>4</v>
      </c>
      <c r="L45">
        <v>2</v>
      </c>
      <c r="M45">
        <v>6</v>
      </c>
      <c r="N45">
        <v>-0.16</v>
      </c>
      <c r="O45">
        <v>0.21</v>
      </c>
      <c r="P45">
        <v>4794.53</v>
      </c>
      <c r="Q45">
        <v>6930</v>
      </c>
      <c r="R45">
        <v>48024900</v>
      </c>
      <c r="S45">
        <v>159.48099999999999</v>
      </c>
      <c r="T45">
        <v>25434.19</v>
      </c>
      <c r="U45">
        <v>1.0858719999999999</v>
      </c>
      <c r="V45">
        <v>1</v>
      </c>
      <c r="W45">
        <v>0</v>
      </c>
      <c r="X45">
        <v>0</v>
      </c>
    </row>
    <row r="46" spans="1:24">
      <c r="A46">
        <v>15</v>
      </c>
      <c r="B46" t="s">
        <v>153</v>
      </c>
      <c r="C46">
        <v>15</v>
      </c>
      <c r="D46">
        <v>2000</v>
      </c>
      <c r="E46">
        <v>1.895473</v>
      </c>
      <c r="F46">
        <v>1.895473</v>
      </c>
      <c r="G46">
        <v>35</v>
      </c>
      <c r="H46">
        <v>1225</v>
      </c>
      <c r="I46">
        <v>170100000</v>
      </c>
      <c r="J46">
        <v>322.42</v>
      </c>
      <c r="K46">
        <v>3</v>
      </c>
      <c r="L46">
        <v>3</v>
      </c>
      <c r="M46">
        <v>6</v>
      </c>
      <c r="N46">
        <v>-0.18</v>
      </c>
      <c r="O46">
        <v>0.37</v>
      </c>
      <c r="P46">
        <v>3537.5189999999998</v>
      </c>
      <c r="Q46">
        <v>7366</v>
      </c>
      <c r="R46">
        <v>54257956</v>
      </c>
      <c r="S46">
        <v>170.1</v>
      </c>
      <c r="T46">
        <v>28934.01</v>
      </c>
      <c r="U46">
        <v>1</v>
      </c>
      <c r="V46">
        <v>0</v>
      </c>
      <c r="W46">
        <v>1</v>
      </c>
      <c r="X46">
        <v>0</v>
      </c>
    </row>
    <row r="47" spans="1:24">
      <c r="A47">
        <v>15</v>
      </c>
      <c r="B47" t="s">
        <v>153</v>
      </c>
      <c r="C47">
        <v>15</v>
      </c>
      <c r="D47">
        <v>2003</v>
      </c>
      <c r="E47">
        <v>1.67597</v>
      </c>
      <c r="F47">
        <v>1.5832729999999999</v>
      </c>
      <c r="G47">
        <v>33</v>
      </c>
      <c r="H47">
        <v>1089</v>
      </c>
      <c r="I47">
        <v>176596300</v>
      </c>
      <c r="J47">
        <v>279.59960000000001</v>
      </c>
      <c r="K47">
        <v>3</v>
      </c>
      <c r="L47">
        <v>2</v>
      </c>
      <c r="M47">
        <v>5</v>
      </c>
      <c r="N47">
        <v>-0.09</v>
      </c>
      <c r="O47">
        <v>0.21</v>
      </c>
      <c r="P47">
        <v>2705.4580000000001</v>
      </c>
      <c r="Q47">
        <v>7405</v>
      </c>
      <c r="R47">
        <v>54834025</v>
      </c>
      <c r="S47">
        <v>176.596</v>
      </c>
      <c r="T47">
        <v>31186.15</v>
      </c>
      <c r="U47">
        <v>0.94469000000000003</v>
      </c>
      <c r="V47">
        <v>0</v>
      </c>
      <c r="W47">
        <v>0</v>
      </c>
      <c r="X47">
        <v>1</v>
      </c>
    </row>
    <row r="48" spans="1:24">
      <c r="A48">
        <v>16</v>
      </c>
      <c r="B48" t="s">
        <v>154</v>
      </c>
      <c r="C48">
        <v>16</v>
      </c>
      <c r="D48">
        <v>1995</v>
      </c>
      <c r="E48">
        <v>13.53571</v>
      </c>
      <c r="F48">
        <v>14.69805</v>
      </c>
      <c r="G48">
        <v>15</v>
      </c>
      <c r="H48">
        <v>225</v>
      </c>
      <c r="I48">
        <v>8400000</v>
      </c>
      <c r="J48">
        <v>123.4636</v>
      </c>
      <c r="K48">
        <v>2</v>
      </c>
      <c r="L48">
        <v>2</v>
      </c>
      <c r="M48">
        <v>4</v>
      </c>
      <c r="N48">
        <v>-0.45</v>
      </c>
      <c r="O48">
        <v>-0.08</v>
      </c>
      <c r="P48">
        <v>1694.182</v>
      </c>
      <c r="Q48">
        <v>6044</v>
      </c>
      <c r="R48">
        <v>36529936</v>
      </c>
      <c r="S48">
        <v>8.4</v>
      </c>
      <c r="T48">
        <v>70.56</v>
      </c>
      <c r="U48">
        <v>1.0858719999999999</v>
      </c>
      <c r="V48">
        <v>1</v>
      </c>
      <c r="W48">
        <v>0</v>
      </c>
      <c r="X48">
        <v>0</v>
      </c>
    </row>
    <row r="49" spans="1:24">
      <c r="A49">
        <v>16</v>
      </c>
      <c r="B49" t="s">
        <v>154</v>
      </c>
      <c r="C49">
        <v>16</v>
      </c>
      <c r="D49">
        <v>2000</v>
      </c>
      <c r="E49">
        <v>38.600490000000001</v>
      </c>
      <c r="F49">
        <v>38.600490000000001</v>
      </c>
      <c r="G49">
        <v>13</v>
      </c>
      <c r="H49">
        <v>169</v>
      </c>
      <c r="I49">
        <v>8060000</v>
      </c>
      <c r="J49">
        <v>311.11989999999997</v>
      </c>
      <c r="K49">
        <v>3</v>
      </c>
      <c r="L49">
        <v>2</v>
      </c>
      <c r="M49">
        <v>5</v>
      </c>
      <c r="N49">
        <v>-0.16</v>
      </c>
      <c r="O49">
        <v>0.22</v>
      </c>
      <c r="P49">
        <v>1564.146</v>
      </c>
      <c r="Q49">
        <v>5990</v>
      </c>
      <c r="R49">
        <v>35880100</v>
      </c>
      <c r="S49">
        <v>8.06</v>
      </c>
      <c r="T49">
        <v>64.9636</v>
      </c>
      <c r="U49">
        <v>1</v>
      </c>
      <c r="V49">
        <v>0</v>
      </c>
      <c r="W49">
        <v>1</v>
      </c>
      <c r="X49">
        <v>0</v>
      </c>
    </row>
    <row r="50" spans="1:24">
      <c r="A50">
        <v>16</v>
      </c>
      <c r="B50" t="s">
        <v>154</v>
      </c>
      <c r="C50">
        <v>16</v>
      </c>
      <c r="D50">
        <v>2003</v>
      </c>
      <c r="E50">
        <v>52.972000000000001</v>
      </c>
      <c r="F50">
        <v>50.04213</v>
      </c>
      <c r="G50">
        <v>12</v>
      </c>
      <c r="H50">
        <v>144</v>
      </c>
      <c r="I50">
        <v>7823000</v>
      </c>
      <c r="J50">
        <v>391.4796</v>
      </c>
      <c r="K50">
        <v>2</v>
      </c>
      <c r="L50">
        <v>1</v>
      </c>
      <c r="M50">
        <v>3</v>
      </c>
      <c r="N50">
        <v>-0.05</v>
      </c>
      <c r="O50">
        <v>0.61</v>
      </c>
      <c r="P50">
        <v>2407.7890000000002</v>
      </c>
      <c r="Q50">
        <v>7086</v>
      </c>
      <c r="R50">
        <v>50211396</v>
      </c>
      <c r="S50">
        <v>7.8230000000000004</v>
      </c>
      <c r="T50">
        <v>61.199330000000003</v>
      </c>
      <c r="U50">
        <v>0.94469000000000003</v>
      </c>
      <c r="V50">
        <v>0</v>
      </c>
      <c r="W50">
        <v>0</v>
      </c>
      <c r="X50">
        <v>1</v>
      </c>
    </row>
    <row r="51" spans="1:24">
      <c r="A51">
        <v>17</v>
      </c>
      <c r="B51" t="s">
        <v>1027</v>
      </c>
      <c r="C51">
        <v>17</v>
      </c>
      <c r="D51">
        <v>1995</v>
      </c>
      <c r="E51">
        <v>49.160989999999998</v>
      </c>
      <c r="F51">
        <v>53.382550000000002</v>
      </c>
      <c r="G51">
        <v>110</v>
      </c>
      <c r="H51">
        <v>12100</v>
      </c>
      <c r="I51">
        <v>9988000</v>
      </c>
      <c r="J51">
        <v>533.18489999999997</v>
      </c>
      <c r="K51">
        <v>4</v>
      </c>
      <c r="L51">
        <v>5</v>
      </c>
      <c r="M51">
        <v>9</v>
      </c>
      <c r="N51">
        <v>-0.76</v>
      </c>
      <c r="O51">
        <v>-0.27</v>
      </c>
      <c r="P51">
        <v>267.78960000000001</v>
      </c>
      <c r="Q51">
        <v>929</v>
      </c>
      <c r="R51">
        <v>863041</v>
      </c>
      <c r="S51">
        <v>9.9879999999999995</v>
      </c>
      <c r="T51">
        <v>99.760140000000007</v>
      </c>
      <c r="U51">
        <v>1.0858719999999999</v>
      </c>
      <c r="V51">
        <v>1</v>
      </c>
      <c r="W51">
        <v>0</v>
      </c>
      <c r="X51">
        <v>0</v>
      </c>
    </row>
    <row r="52" spans="1:24">
      <c r="A52">
        <v>17</v>
      </c>
      <c r="B52" t="s">
        <v>1027</v>
      </c>
      <c r="C52">
        <v>17</v>
      </c>
      <c r="D52">
        <v>2000</v>
      </c>
      <c r="E52">
        <v>29.80397</v>
      </c>
      <c r="F52">
        <v>29.80397</v>
      </c>
      <c r="G52">
        <v>107</v>
      </c>
      <c r="H52">
        <v>11449</v>
      </c>
      <c r="I52">
        <v>11274000</v>
      </c>
      <c r="J52">
        <v>336.01</v>
      </c>
      <c r="K52">
        <v>4</v>
      </c>
      <c r="L52">
        <v>4</v>
      </c>
      <c r="M52">
        <v>8</v>
      </c>
      <c r="N52">
        <v>-0.14000000000000001</v>
      </c>
      <c r="O52">
        <v>0.01</v>
      </c>
      <c r="P52">
        <v>230.68129999999999</v>
      </c>
      <c r="Q52">
        <v>1013</v>
      </c>
      <c r="R52">
        <v>1026169</v>
      </c>
      <c r="S52">
        <v>11.273999999999999</v>
      </c>
      <c r="T52">
        <v>127.1031</v>
      </c>
      <c r="U52">
        <v>1</v>
      </c>
      <c r="V52">
        <v>0</v>
      </c>
      <c r="W52">
        <v>1</v>
      </c>
      <c r="X52">
        <v>0</v>
      </c>
    </row>
    <row r="53" spans="1:24">
      <c r="A53">
        <v>17</v>
      </c>
      <c r="B53" t="s">
        <v>1027</v>
      </c>
      <c r="C53">
        <v>17</v>
      </c>
      <c r="D53">
        <v>2003</v>
      </c>
      <c r="E53">
        <v>37.249279999999999</v>
      </c>
      <c r="F53">
        <v>35.189030000000002</v>
      </c>
      <c r="G53">
        <v>107</v>
      </c>
      <c r="H53">
        <v>11449</v>
      </c>
      <c r="I53">
        <v>12109230</v>
      </c>
      <c r="J53">
        <v>426.10399999999998</v>
      </c>
      <c r="K53">
        <v>4</v>
      </c>
      <c r="L53">
        <v>4</v>
      </c>
      <c r="M53">
        <v>8</v>
      </c>
      <c r="N53">
        <v>-0.56000000000000005</v>
      </c>
      <c r="O53">
        <v>-0.22</v>
      </c>
      <c r="P53">
        <v>326.24430000000001</v>
      </c>
      <c r="Q53">
        <v>1109</v>
      </c>
      <c r="R53">
        <v>1229881</v>
      </c>
      <c r="S53">
        <v>12.109</v>
      </c>
      <c r="T53">
        <v>146.62790000000001</v>
      </c>
      <c r="U53">
        <v>0.94469000000000003</v>
      </c>
      <c r="V53">
        <v>0</v>
      </c>
      <c r="W53">
        <v>0</v>
      </c>
      <c r="X53">
        <v>1</v>
      </c>
    </row>
    <row r="54" spans="1:24">
      <c r="A54">
        <v>18</v>
      </c>
      <c r="B54" t="s">
        <v>1028</v>
      </c>
      <c r="C54">
        <v>18</v>
      </c>
      <c r="D54">
        <v>1995</v>
      </c>
      <c r="E54">
        <v>46.741390000000003</v>
      </c>
      <c r="F54">
        <v>50.755180000000003</v>
      </c>
      <c r="G54">
        <v>114</v>
      </c>
      <c r="H54">
        <v>12996</v>
      </c>
      <c r="I54">
        <v>6156000</v>
      </c>
      <c r="J54">
        <v>312.44889999999998</v>
      </c>
      <c r="K54">
        <v>7</v>
      </c>
      <c r="L54">
        <v>6</v>
      </c>
      <c r="M54">
        <v>13</v>
      </c>
      <c r="N54">
        <v>-0.98</v>
      </c>
      <c r="O54">
        <v>-1.31</v>
      </c>
      <c r="P54">
        <v>176.46799999999999</v>
      </c>
      <c r="Q54">
        <v>694</v>
      </c>
      <c r="R54">
        <v>481636</v>
      </c>
      <c r="S54">
        <v>6.1559999999999997</v>
      </c>
      <c r="T54">
        <v>37.896340000000002</v>
      </c>
      <c r="U54">
        <v>1.0858719999999999</v>
      </c>
      <c r="V54">
        <v>1</v>
      </c>
      <c r="W54">
        <v>0</v>
      </c>
      <c r="X54">
        <v>0</v>
      </c>
    </row>
    <row r="55" spans="1:24">
      <c r="A55">
        <v>18</v>
      </c>
      <c r="B55" t="s">
        <v>1028</v>
      </c>
      <c r="C55">
        <v>18</v>
      </c>
      <c r="D55">
        <v>2000</v>
      </c>
      <c r="E55">
        <v>13.61393</v>
      </c>
      <c r="F55">
        <v>13.61393</v>
      </c>
      <c r="G55">
        <v>114</v>
      </c>
      <c r="H55">
        <v>12996</v>
      </c>
      <c r="I55">
        <v>6807000</v>
      </c>
      <c r="J55">
        <v>92.670019999999994</v>
      </c>
      <c r="K55">
        <v>6</v>
      </c>
      <c r="L55">
        <v>6</v>
      </c>
      <c r="M55">
        <v>12</v>
      </c>
      <c r="N55">
        <v>-1.25</v>
      </c>
      <c r="O55">
        <v>-0.86</v>
      </c>
      <c r="P55">
        <v>99.681970000000007</v>
      </c>
      <c r="Q55">
        <v>600</v>
      </c>
      <c r="R55">
        <v>360000</v>
      </c>
      <c r="S55">
        <v>6.8070000000000004</v>
      </c>
      <c r="T55">
        <v>46.335250000000002</v>
      </c>
      <c r="U55">
        <v>1</v>
      </c>
      <c r="V55">
        <v>0</v>
      </c>
      <c r="W55">
        <v>1</v>
      </c>
      <c r="X55">
        <v>0</v>
      </c>
    </row>
    <row r="56" spans="1:24">
      <c r="A56">
        <v>18</v>
      </c>
      <c r="B56" t="s">
        <v>1028</v>
      </c>
      <c r="C56">
        <v>18</v>
      </c>
      <c r="D56">
        <v>2003</v>
      </c>
      <c r="E56">
        <v>31.113040000000002</v>
      </c>
      <c r="F56">
        <v>29.392189999999999</v>
      </c>
      <c r="G56">
        <v>114</v>
      </c>
      <c r="H56">
        <v>12996</v>
      </c>
      <c r="I56">
        <v>7205982</v>
      </c>
      <c r="J56">
        <v>211.80009999999999</v>
      </c>
      <c r="K56">
        <v>5</v>
      </c>
      <c r="L56">
        <v>5</v>
      </c>
      <c r="M56">
        <v>10</v>
      </c>
      <c r="N56">
        <v>-1.36</v>
      </c>
      <c r="O56">
        <v>-1.32</v>
      </c>
      <c r="P56">
        <v>78.068870000000004</v>
      </c>
      <c r="Q56">
        <v>611</v>
      </c>
      <c r="R56">
        <v>373321</v>
      </c>
      <c r="S56">
        <v>7.2060000000000004</v>
      </c>
      <c r="T56">
        <v>51.926439999999999</v>
      </c>
      <c r="U56">
        <v>0.94469000000000003</v>
      </c>
      <c r="V56">
        <v>0</v>
      </c>
      <c r="W56">
        <v>0</v>
      </c>
      <c r="X56">
        <v>1</v>
      </c>
    </row>
    <row r="57" spans="1:24">
      <c r="A57">
        <v>19</v>
      </c>
      <c r="B57" t="s">
        <v>1029</v>
      </c>
      <c r="C57">
        <v>19</v>
      </c>
      <c r="D57">
        <v>1995</v>
      </c>
      <c r="E57">
        <v>49.553469999999997</v>
      </c>
      <c r="F57">
        <v>53.80874</v>
      </c>
      <c r="G57">
        <v>88</v>
      </c>
      <c r="H57">
        <v>7744</v>
      </c>
      <c r="I57">
        <v>11220000</v>
      </c>
      <c r="J57">
        <v>603.73400000000004</v>
      </c>
      <c r="K57">
        <v>6</v>
      </c>
      <c r="L57">
        <v>6</v>
      </c>
      <c r="M57">
        <v>12</v>
      </c>
      <c r="N57">
        <v>-0.57999999999999996</v>
      </c>
      <c r="O57">
        <v>-0.28999999999999998</v>
      </c>
      <c r="P57">
        <v>327.52339999999998</v>
      </c>
      <c r="Q57">
        <v>1451</v>
      </c>
      <c r="R57">
        <v>2105401</v>
      </c>
      <c r="S57">
        <v>11.22</v>
      </c>
      <c r="T57">
        <v>125.8884</v>
      </c>
      <c r="U57">
        <v>1.0858719999999999</v>
      </c>
      <c r="V57">
        <v>1</v>
      </c>
      <c r="W57">
        <v>0</v>
      </c>
      <c r="X57">
        <v>0</v>
      </c>
    </row>
    <row r="58" spans="1:24">
      <c r="A58">
        <v>19</v>
      </c>
      <c r="B58" t="s">
        <v>1029</v>
      </c>
      <c r="C58">
        <v>19</v>
      </c>
      <c r="D58">
        <v>2000</v>
      </c>
      <c r="E58">
        <v>31.38401</v>
      </c>
      <c r="F58">
        <v>31.38401</v>
      </c>
      <c r="G58">
        <v>95</v>
      </c>
      <c r="H58">
        <v>9025</v>
      </c>
      <c r="I58">
        <v>12695000</v>
      </c>
      <c r="J58">
        <v>398.42</v>
      </c>
      <c r="K58">
        <v>6</v>
      </c>
      <c r="L58">
        <v>6</v>
      </c>
      <c r="M58">
        <v>12</v>
      </c>
      <c r="N58">
        <v>-0.44</v>
      </c>
      <c r="O58">
        <v>-7.0000000000000007E-2</v>
      </c>
      <c r="P58">
        <v>283.09879999999998</v>
      </c>
      <c r="Q58">
        <v>1804</v>
      </c>
      <c r="R58">
        <v>3254416</v>
      </c>
      <c r="S58">
        <v>12.695</v>
      </c>
      <c r="T58">
        <v>161.16300000000001</v>
      </c>
      <c r="U58">
        <v>1</v>
      </c>
      <c r="V58">
        <v>0</v>
      </c>
      <c r="W58">
        <v>1</v>
      </c>
      <c r="X58">
        <v>0</v>
      </c>
    </row>
    <row r="59" spans="1:24">
      <c r="A59">
        <v>19</v>
      </c>
      <c r="B59" t="s">
        <v>1029</v>
      </c>
      <c r="C59">
        <v>19</v>
      </c>
      <c r="D59">
        <v>2003</v>
      </c>
      <c r="E59">
        <v>37.903129999999997</v>
      </c>
      <c r="F59">
        <v>35.806719999999999</v>
      </c>
      <c r="G59">
        <v>97</v>
      </c>
      <c r="H59">
        <v>9409</v>
      </c>
      <c r="I59">
        <v>13403640</v>
      </c>
      <c r="J59">
        <v>479.95330000000001</v>
      </c>
      <c r="K59">
        <v>5</v>
      </c>
      <c r="L59">
        <v>6</v>
      </c>
      <c r="M59">
        <v>11</v>
      </c>
      <c r="N59">
        <v>-0.69</v>
      </c>
      <c r="O59">
        <v>-0.34</v>
      </c>
      <c r="P59">
        <v>291.33</v>
      </c>
      <c r="Q59">
        <v>2026</v>
      </c>
      <c r="R59">
        <v>4104676</v>
      </c>
      <c r="S59">
        <v>13.404</v>
      </c>
      <c r="T59">
        <v>179.66720000000001</v>
      </c>
      <c r="U59">
        <v>0.94469000000000003</v>
      </c>
      <c r="V59">
        <v>0</v>
      </c>
      <c r="W59">
        <v>0</v>
      </c>
      <c r="X59">
        <v>1</v>
      </c>
    </row>
    <row r="60" spans="1:24">
      <c r="A60">
        <v>20</v>
      </c>
      <c r="B60" t="s">
        <v>1030</v>
      </c>
      <c r="C60">
        <v>20</v>
      </c>
      <c r="D60">
        <v>1995</v>
      </c>
      <c r="E60">
        <v>33.087820000000001</v>
      </c>
      <c r="F60">
        <v>35.929139999999997</v>
      </c>
      <c r="G60">
        <v>92</v>
      </c>
      <c r="H60">
        <v>8464</v>
      </c>
      <c r="I60">
        <v>13414000</v>
      </c>
      <c r="J60">
        <v>481.95350000000002</v>
      </c>
      <c r="K60">
        <v>5</v>
      </c>
      <c r="L60">
        <v>7</v>
      </c>
      <c r="M60">
        <v>12</v>
      </c>
      <c r="N60">
        <v>-1.04</v>
      </c>
      <c r="O60">
        <v>-0.82</v>
      </c>
      <c r="P60">
        <v>644.63250000000005</v>
      </c>
      <c r="Q60">
        <v>1669</v>
      </c>
      <c r="R60">
        <v>2785561</v>
      </c>
      <c r="S60">
        <v>13.414</v>
      </c>
      <c r="T60">
        <v>179.93539999999999</v>
      </c>
      <c r="U60">
        <v>1.0858719999999999</v>
      </c>
      <c r="V60">
        <v>1</v>
      </c>
      <c r="W60">
        <v>0</v>
      </c>
      <c r="X60">
        <v>0</v>
      </c>
    </row>
    <row r="61" spans="1:24">
      <c r="A61">
        <v>20</v>
      </c>
      <c r="B61" t="s">
        <v>1030</v>
      </c>
      <c r="C61">
        <v>20</v>
      </c>
      <c r="D61">
        <v>2000</v>
      </c>
      <c r="E61">
        <v>25.133289999999999</v>
      </c>
      <c r="F61">
        <v>25.133289999999999</v>
      </c>
      <c r="G61">
        <v>95</v>
      </c>
      <c r="H61">
        <v>9025</v>
      </c>
      <c r="I61">
        <v>15117000</v>
      </c>
      <c r="J61">
        <v>379.93990000000002</v>
      </c>
      <c r="K61">
        <v>6</v>
      </c>
      <c r="L61">
        <v>7</v>
      </c>
      <c r="M61">
        <v>13</v>
      </c>
      <c r="N61">
        <v>-0.44</v>
      </c>
      <c r="O61">
        <v>0</v>
      </c>
      <c r="P61">
        <v>587.37130000000002</v>
      </c>
      <c r="Q61">
        <v>1869</v>
      </c>
      <c r="R61">
        <v>3493161</v>
      </c>
      <c r="S61">
        <v>15.117000000000001</v>
      </c>
      <c r="T61">
        <v>228.52369999999999</v>
      </c>
      <c r="U61">
        <v>1</v>
      </c>
      <c r="V61">
        <v>0</v>
      </c>
      <c r="W61">
        <v>1</v>
      </c>
      <c r="X61">
        <v>0</v>
      </c>
    </row>
    <row r="62" spans="1:24">
      <c r="A62">
        <v>20</v>
      </c>
      <c r="B62" t="s">
        <v>1030</v>
      </c>
      <c r="C62">
        <v>20</v>
      </c>
      <c r="D62">
        <v>2003</v>
      </c>
      <c r="E62">
        <v>54.944000000000003</v>
      </c>
      <c r="F62">
        <v>51.905059999999999</v>
      </c>
      <c r="G62">
        <v>95</v>
      </c>
      <c r="H62">
        <v>9025</v>
      </c>
      <c r="I62">
        <v>16087470</v>
      </c>
      <c r="J62">
        <v>834.99680000000001</v>
      </c>
      <c r="K62">
        <v>6</v>
      </c>
      <c r="L62">
        <v>6</v>
      </c>
      <c r="M62">
        <v>12</v>
      </c>
      <c r="N62">
        <v>-0.62</v>
      </c>
      <c r="O62">
        <v>-0.74</v>
      </c>
      <c r="P62">
        <v>733.49030000000005</v>
      </c>
      <c r="Q62">
        <v>1962</v>
      </c>
      <c r="R62">
        <v>3849444</v>
      </c>
      <c r="S62">
        <v>16.087</v>
      </c>
      <c r="T62">
        <v>258.79160000000002</v>
      </c>
      <c r="U62">
        <v>0.94469000000000003</v>
      </c>
      <c r="V62">
        <v>0</v>
      </c>
      <c r="W62">
        <v>0</v>
      </c>
      <c r="X62">
        <v>1</v>
      </c>
    </row>
    <row r="63" spans="1:24">
      <c r="A63">
        <v>21</v>
      </c>
      <c r="B63" t="s">
        <v>1031</v>
      </c>
      <c r="C63">
        <v>21</v>
      </c>
      <c r="D63">
        <v>1995</v>
      </c>
      <c r="E63">
        <v>306.98950000000002</v>
      </c>
      <c r="F63">
        <v>333.35140000000001</v>
      </c>
      <c r="G63">
        <v>37</v>
      </c>
      <c r="H63">
        <v>1369</v>
      </c>
      <c r="I63">
        <v>382000</v>
      </c>
      <c r="J63">
        <v>127.3402</v>
      </c>
      <c r="K63">
        <v>2</v>
      </c>
      <c r="L63">
        <v>1</v>
      </c>
      <c r="M63">
        <v>3</v>
      </c>
      <c r="N63">
        <v>-0.05</v>
      </c>
      <c r="O63">
        <v>-0.56000000000000005</v>
      </c>
      <c r="P63">
        <v>1394.605</v>
      </c>
      <c r="Q63">
        <v>4063</v>
      </c>
      <c r="R63">
        <v>16507969</v>
      </c>
      <c r="S63">
        <v>0.38200000000000001</v>
      </c>
      <c r="T63">
        <v>0.145924</v>
      </c>
      <c r="U63">
        <v>1.0858719999999999</v>
      </c>
      <c r="V63">
        <v>1</v>
      </c>
      <c r="W63">
        <v>0</v>
      </c>
      <c r="X63">
        <v>0</v>
      </c>
    </row>
    <row r="64" spans="1:24">
      <c r="A64">
        <v>21</v>
      </c>
      <c r="B64" t="s">
        <v>1031</v>
      </c>
      <c r="C64">
        <v>21</v>
      </c>
      <c r="D64">
        <v>2000</v>
      </c>
      <c r="E64">
        <v>216.37039999999999</v>
      </c>
      <c r="F64">
        <v>216.37039999999999</v>
      </c>
      <c r="G64">
        <v>30</v>
      </c>
      <c r="H64">
        <v>900</v>
      </c>
      <c r="I64">
        <v>434810</v>
      </c>
      <c r="J64">
        <v>94.121120000000005</v>
      </c>
      <c r="K64">
        <v>2</v>
      </c>
      <c r="L64">
        <v>1</v>
      </c>
      <c r="M64">
        <v>3</v>
      </c>
      <c r="N64">
        <v>0.33</v>
      </c>
      <c r="O64">
        <v>-7.0000000000000007E-2</v>
      </c>
      <c r="P64">
        <v>1222.1110000000001</v>
      </c>
      <c r="Q64">
        <v>4919</v>
      </c>
      <c r="R64">
        <v>24196561</v>
      </c>
      <c r="S64">
        <v>0.435</v>
      </c>
      <c r="T64">
        <v>0.189225</v>
      </c>
      <c r="U64">
        <v>1</v>
      </c>
      <c r="V64">
        <v>0</v>
      </c>
      <c r="W64">
        <v>1</v>
      </c>
      <c r="X64">
        <v>0</v>
      </c>
    </row>
    <row r="65" spans="1:24">
      <c r="A65">
        <v>21</v>
      </c>
      <c r="B65" t="s">
        <v>1031</v>
      </c>
      <c r="C65">
        <v>21</v>
      </c>
      <c r="D65">
        <v>2003</v>
      </c>
      <c r="E65">
        <v>305.9101</v>
      </c>
      <c r="F65">
        <v>288.99029999999999</v>
      </c>
      <c r="G65">
        <v>26</v>
      </c>
      <c r="H65">
        <v>676</v>
      </c>
      <c r="I65">
        <v>469681</v>
      </c>
      <c r="J65">
        <v>135.8254</v>
      </c>
      <c r="K65">
        <v>1</v>
      </c>
      <c r="L65">
        <v>1</v>
      </c>
      <c r="M65">
        <v>2</v>
      </c>
      <c r="N65">
        <v>-0.14000000000000001</v>
      </c>
      <c r="O65">
        <v>0.01</v>
      </c>
      <c r="P65">
        <v>1603.675</v>
      </c>
      <c r="Q65">
        <v>5155</v>
      </c>
      <c r="R65">
        <v>26574025</v>
      </c>
      <c r="S65">
        <v>0.47</v>
      </c>
      <c r="T65">
        <v>0.22090000000000001</v>
      </c>
      <c r="U65">
        <v>0.94469000000000003</v>
      </c>
      <c r="V65">
        <v>0</v>
      </c>
      <c r="W65">
        <v>0</v>
      </c>
      <c r="X65">
        <v>1</v>
      </c>
    </row>
    <row r="66" spans="1:24">
      <c r="A66">
        <v>22</v>
      </c>
      <c r="B66" t="s">
        <v>1032</v>
      </c>
      <c r="C66">
        <v>22</v>
      </c>
      <c r="D66">
        <v>1995</v>
      </c>
      <c r="E66">
        <v>50.262369999999997</v>
      </c>
      <c r="F66">
        <v>54.578510000000001</v>
      </c>
      <c r="G66">
        <v>115</v>
      </c>
      <c r="H66">
        <v>13225</v>
      </c>
      <c r="I66">
        <v>3354000</v>
      </c>
      <c r="J66">
        <v>183.05629999999999</v>
      </c>
      <c r="K66">
        <v>4</v>
      </c>
      <c r="L66">
        <v>3</v>
      </c>
      <c r="M66">
        <v>7</v>
      </c>
      <c r="N66">
        <v>-0.82</v>
      </c>
      <c r="O66">
        <v>-0.28999999999999998</v>
      </c>
      <c r="P66">
        <v>363.22230000000002</v>
      </c>
      <c r="Q66">
        <v>1148</v>
      </c>
      <c r="R66">
        <v>1317904</v>
      </c>
      <c r="S66">
        <v>3.3540000000000001</v>
      </c>
      <c r="T66">
        <v>11.249320000000001</v>
      </c>
      <c r="U66">
        <v>1.0858719999999999</v>
      </c>
      <c r="V66">
        <v>1</v>
      </c>
      <c r="W66">
        <v>0</v>
      </c>
      <c r="X66">
        <v>0</v>
      </c>
    </row>
    <row r="67" spans="1:24">
      <c r="A67">
        <v>22</v>
      </c>
      <c r="B67" t="s">
        <v>1032</v>
      </c>
      <c r="C67">
        <v>22</v>
      </c>
      <c r="D67">
        <v>2000</v>
      </c>
      <c r="E67">
        <v>20.293410000000002</v>
      </c>
      <c r="F67">
        <v>20.293410000000002</v>
      </c>
      <c r="G67">
        <v>115</v>
      </c>
      <c r="H67">
        <v>13225</v>
      </c>
      <c r="I67">
        <v>3715000</v>
      </c>
      <c r="J67">
        <v>75.390020000000007</v>
      </c>
      <c r="K67">
        <v>4</v>
      </c>
      <c r="L67">
        <v>3</v>
      </c>
      <c r="M67">
        <v>7</v>
      </c>
      <c r="N67">
        <v>-1.06</v>
      </c>
      <c r="O67">
        <v>-0.65</v>
      </c>
      <c r="P67">
        <v>256.48340000000002</v>
      </c>
      <c r="Q67">
        <v>1154</v>
      </c>
      <c r="R67">
        <v>1331716</v>
      </c>
      <c r="S67">
        <v>3.7149999999999999</v>
      </c>
      <c r="T67">
        <v>13.80123</v>
      </c>
      <c r="U67">
        <v>1</v>
      </c>
      <c r="V67">
        <v>0</v>
      </c>
      <c r="W67">
        <v>1</v>
      </c>
      <c r="X67">
        <v>0</v>
      </c>
    </row>
    <row r="68" spans="1:24">
      <c r="A68">
        <v>22</v>
      </c>
      <c r="B68" t="s">
        <v>1032</v>
      </c>
      <c r="C68">
        <v>22</v>
      </c>
      <c r="D68">
        <v>2003</v>
      </c>
      <c r="E68">
        <v>12.847709999999999</v>
      </c>
      <c r="F68">
        <v>12.13711</v>
      </c>
      <c r="G68">
        <v>115</v>
      </c>
      <c r="H68">
        <v>13225</v>
      </c>
      <c r="I68">
        <v>3880847</v>
      </c>
      <c r="J68">
        <v>47.104109999999999</v>
      </c>
      <c r="K68">
        <v>5</v>
      </c>
      <c r="L68">
        <v>7</v>
      </c>
      <c r="M68">
        <v>12</v>
      </c>
      <c r="N68">
        <v>-1.58</v>
      </c>
      <c r="O68">
        <v>-1.07</v>
      </c>
      <c r="P68">
        <v>292.84070000000003</v>
      </c>
      <c r="Q68">
        <v>1044</v>
      </c>
      <c r="R68">
        <v>1089936</v>
      </c>
      <c r="S68">
        <v>3.8809999999999998</v>
      </c>
      <c r="T68">
        <v>15.06216</v>
      </c>
      <c r="U68">
        <v>0.94469000000000003</v>
      </c>
      <c r="V68">
        <v>0</v>
      </c>
      <c r="W68">
        <v>0</v>
      </c>
      <c r="X68">
        <v>1</v>
      </c>
    </row>
    <row r="69" spans="1:24">
      <c r="A69">
        <v>23</v>
      </c>
      <c r="B69" t="s">
        <v>1033</v>
      </c>
      <c r="C69">
        <v>23</v>
      </c>
      <c r="D69">
        <v>1995</v>
      </c>
      <c r="E69">
        <v>35.118110000000001</v>
      </c>
      <c r="F69">
        <v>38.133780000000002</v>
      </c>
      <c r="G69">
        <v>117</v>
      </c>
      <c r="H69">
        <v>13689</v>
      </c>
      <c r="I69">
        <v>6731000</v>
      </c>
      <c r="J69">
        <v>256.67849999999999</v>
      </c>
      <c r="K69">
        <v>5</v>
      </c>
      <c r="L69">
        <v>6</v>
      </c>
      <c r="M69">
        <v>11</v>
      </c>
      <c r="N69">
        <v>-0.57999999999999996</v>
      </c>
      <c r="O69">
        <v>0.01</v>
      </c>
      <c r="P69">
        <v>232.0558</v>
      </c>
      <c r="Q69">
        <v>890</v>
      </c>
      <c r="R69">
        <v>792100</v>
      </c>
      <c r="S69">
        <v>6.7309999999999999</v>
      </c>
      <c r="T69">
        <v>45.306359999999998</v>
      </c>
      <c r="U69">
        <v>1.0858719999999999</v>
      </c>
      <c r="V69">
        <v>1</v>
      </c>
      <c r="W69">
        <v>0</v>
      </c>
      <c r="X69">
        <v>0</v>
      </c>
    </row>
    <row r="70" spans="1:24">
      <c r="A70">
        <v>23</v>
      </c>
      <c r="B70" t="s">
        <v>1033</v>
      </c>
      <c r="C70">
        <v>23</v>
      </c>
      <c r="D70">
        <v>2000</v>
      </c>
      <c r="E70">
        <v>16.632739999999998</v>
      </c>
      <c r="F70">
        <v>16.632739999999998</v>
      </c>
      <c r="G70">
        <v>117</v>
      </c>
      <c r="H70">
        <v>13689</v>
      </c>
      <c r="I70">
        <v>7861000</v>
      </c>
      <c r="J70">
        <v>130.75</v>
      </c>
      <c r="K70">
        <v>5</v>
      </c>
      <c r="L70">
        <v>6</v>
      </c>
      <c r="M70">
        <v>11</v>
      </c>
      <c r="N70">
        <v>-0.36</v>
      </c>
      <c r="O70">
        <v>-0.28000000000000003</v>
      </c>
      <c r="P70">
        <v>176.85730000000001</v>
      </c>
      <c r="Q70">
        <v>847</v>
      </c>
      <c r="R70">
        <v>717409</v>
      </c>
      <c r="S70">
        <v>7.8609999999999998</v>
      </c>
      <c r="T70">
        <v>61.795319999999997</v>
      </c>
      <c r="U70">
        <v>1</v>
      </c>
      <c r="V70">
        <v>0</v>
      </c>
      <c r="W70">
        <v>1</v>
      </c>
      <c r="X70">
        <v>0</v>
      </c>
    </row>
    <row r="71" spans="1:24">
      <c r="A71">
        <v>23</v>
      </c>
      <c r="B71" t="s">
        <v>1033</v>
      </c>
      <c r="C71">
        <v>23</v>
      </c>
      <c r="D71">
        <v>2003</v>
      </c>
      <c r="E71">
        <v>28.77272</v>
      </c>
      <c r="F71">
        <v>27.18131</v>
      </c>
      <c r="G71">
        <v>117</v>
      </c>
      <c r="H71">
        <v>13689</v>
      </c>
      <c r="I71">
        <v>8581741</v>
      </c>
      <c r="J71">
        <v>233.27</v>
      </c>
      <c r="K71">
        <v>5</v>
      </c>
      <c r="L71">
        <v>6</v>
      </c>
      <c r="M71">
        <v>11</v>
      </c>
      <c r="N71">
        <v>-0.98</v>
      </c>
      <c r="O71">
        <v>-0.9</v>
      </c>
      <c r="P71">
        <v>287.1112</v>
      </c>
      <c r="Q71">
        <v>1148</v>
      </c>
      <c r="R71">
        <v>1317904</v>
      </c>
      <c r="S71">
        <v>8.5820000000000007</v>
      </c>
      <c r="T71">
        <v>73.650720000000007</v>
      </c>
      <c r="U71">
        <v>0.94469000000000003</v>
      </c>
      <c r="V71">
        <v>0</v>
      </c>
      <c r="W71">
        <v>0</v>
      </c>
      <c r="X71">
        <v>1</v>
      </c>
    </row>
    <row r="72" spans="1:24">
      <c r="A72">
        <v>24</v>
      </c>
      <c r="B72" t="s">
        <v>235</v>
      </c>
      <c r="C72">
        <v>24</v>
      </c>
      <c r="D72">
        <v>1995</v>
      </c>
      <c r="E72">
        <v>11.0778</v>
      </c>
      <c r="F72">
        <v>12.02908</v>
      </c>
      <c r="G72">
        <v>12</v>
      </c>
      <c r="H72">
        <v>144</v>
      </c>
      <c r="I72">
        <v>14210400</v>
      </c>
      <c r="J72">
        <v>170.9332</v>
      </c>
      <c r="K72">
        <v>2</v>
      </c>
      <c r="L72">
        <v>2</v>
      </c>
      <c r="M72">
        <v>4</v>
      </c>
      <c r="N72">
        <v>1.2</v>
      </c>
      <c r="O72">
        <v>1.52</v>
      </c>
      <c r="P72">
        <v>4983.3990000000003</v>
      </c>
      <c r="Q72">
        <v>7993</v>
      </c>
      <c r="R72">
        <v>63888049</v>
      </c>
      <c r="S72">
        <v>14.21</v>
      </c>
      <c r="T72">
        <v>201.92410000000001</v>
      </c>
      <c r="U72">
        <v>1.0858719999999999</v>
      </c>
      <c r="V72">
        <v>1</v>
      </c>
      <c r="W72">
        <v>0</v>
      </c>
      <c r="X72">
        <v>0</v>
      </c>
    </row>
    <row r="73" spans="1:24">
      <c r="A73">
        <v>24</v>
      </c>
      <c r="B73" t="s">
        <v>235</v>
      </c>
      <c r="C73">
        <v>24</v>
      </c>
      <c r="D73">
        <v>2000</v>
      </c>
      <c r="E73">
        <v>3.239039</v>
      </c>
      <c r="F73">
        <v>3.239039</v>
      </c>
      <c r="G73">
        <v>11</v>
      </c>
      <c r="H73">
        <v>121</v>
      </c>
      <c r="I73">
        <v>15211300</v>
      </c>
      <c r="J73">
        <v>49.269019999999998</v>
      </c>
      <c r="K73">
        <v>2</v>
      </c>
      <c r="L73">
        <v>2</v>
      </c>
      <c r="M73">
        <v>4</v>
      </c>
      <c r="N73">
        <v>1.34</v>
      </c>
      <c r="O73">
        <v>1.38</v>
      </c>
      <c r="P73">
        <v>4964.3990000000003</v>
      </c>
      <c r="Q73">
        <v>9197</v>
      </c>
      <c r="R73">
        <v>84584809</v>
      </c>
      <c r="S73">
        <v>15.211</v>
      </c>
      <c r="T73">
        <v>231.37450000000001</v>
      </c>
      <c r="U73">
        <v>1</v>
      </c>
      <c r="V73">
        <v>0</v>
      </c>
      <c r="W73">
        <v>1</v>
      </c>
      <c r="X73">
        <v>0</v>
      </c>
    </row>
    <row r="74" spans="1:24">
      <c r="A74">
        <v>24</v>
      </c>
      <c r="B74" t="s">
        <v>235</v>
      </c>
      <c r="C74">
        <v>24</v>
      </c>
      <c r="D74">
        <v>2003</v>
      </c>
      <c r="E74">
        <v>4.7907950000000001</v>
      </c>
      <c r="F74">
        <v>4.5258180000000001</v>
      </c>
      <c r="G74">
        <v>8</v>
      </c>
      <c r="H74">
        <v>64</v>
      </c>
      <c r="I74">
        <v>15774000</v>
      </c>
      <c r="J74">
        <v>71.390249999999995</v>
      </c>
      <c r="K74">
        <v>1</v>
      </c>
      <c r="L74">
        <v>1</v>
      </c>
      <c r="M74">
        <v>2</v>
      </c>
      <c r="N74">
        <v>1.26</v>
      </c>
      <c r="O74">
        <v>1.55</v>
      </c>
      <c r="P74">
        <v>4336.7030000000004</v>
      </c>
      <c r="Q74">
        <v>9706</v>
      </c>
      <c r="R74">
        <v>94206436</v>
      </c>
      <c r="S74">
        <v>15.773999999999999</v>
      </c>
      <c r="T74">
        <v>248.81909999999999</v>
      </c>
      <c r="U74">
        <v>0.94469000000000003</v>
      </c>
      <c r="V74">
        <v>0</v>
      </c>
      <c r="W74">
        <v>0</v>
      </c>
      <c r="X74">
        <v>1</v>
      </c>
    </row>
    <row r="75" spans="1:24">
      <c r="A75">
        <v>25</v>
      </c>
      <c r="B75" t="s">
        <v>155</v>
      </c>
      <c r="C75">
        <v>25</v>
      </c>
      <c r="D75">
        <v>1995</v>
      </c>
      <c r="E75">
        <v>2.885119</v>
      </c>
      <c r="F75">
        <v>3.1328710000000002</v>
      </c>
      <c r="G75">
        <v>37</v>
      </c>
      <c r="H75">
        <v>1369</v>
      </c>
      <c r="I75" s="87">
        <v>1205000000</v>
      </c>
      <c r="J75">
        <v>3774.6550000000002</v>
      </c>
      <c r="K75">
        <v>7</v>
      </c>
      <c r="L75">
        <v>7</v>
      </c>
      <c r="M75">
        <v>14</v>
      </c>
      <c r="N75">
        <v>0.18</v>
      </c>
      <c r="O75">
        <v>-0.06</v>
      </c>
      <c r="P75">
        <v>631.12339999999995</v>
      </c>
      <c r="Q75">
        <v>2702</v>
      </c>
      <c r="R75">
        <v>7300804</v>
      </c>
      <c r="S75">
        <v>1204.855</v>
      </c>
      <c r="T75">
        <v>1451676</v>
      </c>
      <c r="U75">
        <v>1.0858719999999999</v>
      </c>
      <c r="V75">
        <v>1</v>
      </c>
      <c r="W75">
        <v>0</v>
      </c>
      <c r="X75">
        <v>0</v>
      </c>
    </row>
    <row r="76" spans="1:24">
      <c r="A76">
        <v>25</v>
      </c>
      <c r="B76" t="s">
        <v>155</v>
      </c>
      <c r="C76">
        <v>25</v>
      </c>
      <c r="D76">
        <v>2000</v>
      </c>
      <c r="E76">
        <v>1.371605</v>
      </c>
      <c r="F76">
        <v>1.371605</v>
      </c>
      <c r="G76">
        <v>32</v>
      </c>
      <c r="H76">
        <v>1024</v>
      </c>
      <c r="I76" s="87">
        <v>1263000000</v>
      </c>
      <c r="J76">
        <v>1731.85</v>
      </c>
      <c r="K76">
        <v>6</v>
      </c>
      <c r="L76">
        <v>7</v>
      </c>
      <c r="M76">
        <v>13</v>
      </c>
      <c r="N76">
        <v>0.22</v>
      </c>
      <c r="O76">
        <v>-0.21</v>
      </c>
      <c r="P76">
        <v>855.93420000000003</v>
      </c>
      <c r="Q76">
        <v>3821</v>
      </c>
      <c r="R76">
        <v>14600041</v>
      </c>
      <c r="S76">
        <v>1262.645</v>
      </c>
      <c r="T76">
        <v>1594272</v>
      </c>
      <c r="U76">
        <v>1</v>
      </c>
      <c r="V76">
        <v>0</v>
      </c>
      <c r="W76">
        <v>1</v>
      </c>
      <c r="X76">
        <v>0</v>
      </c>
    </row>
    <row r="77" spans="1:24">
      <c r="A77">
        <v>25</v>
      </c>
      <c r="B77" t="s">
        <v>155</v>
      </c>
      <c r="C77">
        <v>25</v>
      </c>
      <c r="D77">
        <v>2003</v>
      </c>
      <c r="E77">
        <v>1.028089</v>
      </c>
      <c r="F77">
        <v>0.97122600000000003</v>
      </c>
      <c r="G77">
        <v>30</v>
      </c>
      <c r="H77">
        <v>900</v>
      </c>
      <c r="I77" s="87">
        <v>1288000000</v>
      </c>
      <c r="J77">
        <v>1251.327</v>
      </c>
      <c r="K77">
        <v>6</v>
      </c>
      <c r="L77">
        <v>7</v>
      </c>
      <c r="M77">
        <v>13</v>
      </c>
      <c r="N77">
        <v>0.16</v>
      </c>
      <c r="O77">
        <v>-0.44</v>
      </c>
      <c r="P77">
        <v>1038.6849999999999</v>
      </c>
      <c r="Q77">
        <v>4727</v>
      </c>
      <c r="R77">
        <v>22344529</v>
      </c>
      <c r="S77">
        <v>1288.4000000000001</v>
      </c>
      <c r="T77">
        <v>1659975</v>
      </c>
      <c r="U77">
        <v>0.94469000000000003</v>
      </c>
      <c r="V77">
        <v>0</v>
      </c>
      <c r="W77">
        <v>0</v>
      </c>
      <c r="X77">
        <v>1</v>
      </c>
    </row>
    <row r="78" spans="1:24">
      <c r="A78">
        <v>26</v>
      </c>
      <c r="B78" t="s">
        <v>156</v>
      </c>
      <c r="C78">
        <v>26</v>
      </c>
      <c r="D78">
        <v>1995</v>
      </c>
      <c r="E78">
        <v>4.438015</v>
      </c>
      <c r="F78">
        <v>4.8191170000000003</v>
      </c>
      <c r="G78">
        <v>24</v>
      </c>
      <c r="H78">
        <v>576</v>
      </c>
      <c r="I78">
        <v>38542000</v>
      </c>
      <c r="J78">
        <v>185.73840000000001</v>
      </c>
      <c r="K78">
        <v>4</v>
      </c>
      <c r="L78">
        <v>4</v>
      </c>
      <c r="M78">
        <v>8</v>
      </c>
      <c r="N78">
        <v>7.0000000000000007E-2</v>
      </c>
      <c r="O78">
        <v>0.49</v>
      </c>
      <c r="P78">
        <v>2606.1529999999998</v>
      </c>
      <c r="Q78">
        <v>6442</v>
      </c>
      <c r="R78">
        <v>41499364</v>
      </c>
      <c r="S78">
        <v>38.542000000000002</v>
      </c>
      <c r="T78">
        <v>1485.4860000000001</v>
      </c>
      <c r="U78">
        <v>1.0858719999999999</v>
      </c>
      <c r="V78">
        <v>1</v>
      </c>
      <c r="W78">
        <v>0</v>
      </c>
      <c r="X78">
        <v>0</v>
      </c>
    </row>
    <row r="79" spans="1:24">
      <c r="A79">
        <v>26</v>
      </c>
      <c r="B79" t="s">
        <v>156</v>
      </c>
      <c r="C79">
        <v>26</v>
      </c>
      <c r="D79">
        <v>2000</v>
      </c>
      <c r="E79">
        <v>4.4164830000000004</v>
      </c>
      <c r="F79">
        <v>4.4164830000000004</v>
      </c>
      <c r="G79">
        <v>20</v>
      </c>
      <c r="H79">
        <v>400</v>
      </c>
      <c r="I79">
        <v>42321000</v>
      </c>
      <c r="J79">
        <v>186.91</v>
      </c>
      <c r="K79">
        <v>4</v>
      </c>
      <c r="L79">
        <v>4</v>
      </c>
      <c r="M79">
        <v>8</v>
      </c>
      <c r="N79">
        <v>-0.31</v>
      </c>
      <c r="O79">
        <v>0.12</v>
      </c>
      <c r="P79">
        <v>1979.5989999999999</v>
      </c>
      <c r="Q79">
        <v>6208</v>
      </c>
      <c r="R79">
        <v>38539264</v>
      </c>
      <c r="S79">
        <v>42.320999999999998</v>
      </c>
      <c r="T79">
        <v>1791.067</v>
      </c>
      <c r="U79">
        <v>1</v>
      </c>
      <c r="V79">
        <v>0</v>
      </c>
      <c r="W79">
        <v>1</v>
      </c>
      <c r="X79">
        <v>0</v>
      </c>
    </row>
    <row r="80" spans="1:24">
      <c r="A80">
        <v>26</v>
      </c>
      <c r="B80" t="s">
        <v>156</v>
      </c>
      <c r="C80">
        <v>26</v>
      </c>
      <c r="D80">
        <v>2003</v>
      </c>
      <c r="E80">
        <v>17.99166</v>
      </c>
      <c r="F80">
        <v>16.996549999999999</v>
      </c>
      <c r="G80">
        <v>18</v>
      </c>
      <c r="H80">
        <v>324</v>
      </c>
      <c r="I80">
        <v>44584000</v>
      </c>
      <c r="J80">
        <v>757.774</v>
      </c>
      <c r="K80">
        <v>4</v>
      </c>
      <c r="L80">
        <v>4</v>
      </c>
      <c r="M80">
        <v>8</v>
      </c>
      <c r="N80">
        <v>-0.28999999999999998</v>
      </c>
      <c r="O80">
        <v>-0.09</v>
      </c>
      <c r="P80">
        <v>1694.2260000000001</v>
      </c>
      <c r="Q80">
        <v>6442</v>
      </c>
      <c r="R80">
        <v>41499364</v>
      </c>
      <c r="S80">
        <v>44.584000000000003</v>
      </c>
      <c r="T80">
        <v>1987.7329999999999</v>
      </c>
      <c r="U80">
        <v>0.94469000000000003</v>
      </c>
      <c r="V80">
        <v>0</v>
      </c>
      <c r="W80">
        <v>0</v>
      </c>
      <c r="X80">
        <v>1</v>
      </c>
    </row>
    <row r="81" spans="1:24">
      <c r="A81">
        <v>27</v>
      </c>
      <c r="B81" t="s">
        <v>1034</v>
      </c>
      <c r="C81">
        <v>27</v>
      </c>
      <c r="D81">
        <v>1995</v>
      </c>
      <c r="E81">
        <v>84.898380000000003</v>
      </c>
      <c r="F81">
        <v>92.188789999999997</v>
      </c>
      <c r="G81">
        <v>74</v>
      </c>
      <c r="H81">
        <v>5476</v>
      </c>
      <c r="I81">
        <v>492000</v>
      </c>
      <c r="J81">
        <v>45.35689</v>
      </c>
      <c r="K81">
        <v>4</v>
      </c>
      <c r="L81">
        <v>4</v>
      </c>
      <c r="M81">
        <v>8</v>
      </c>
      <c r="N81">
        <v>-0.63</v>
      </c>
      <c r="O81">
        <v>-0.72</v>
      </c>
      <c r="P81">
        <v>511.80290000000002</v>
      </c>
      <c r="Q81">
        <v>1793</v>
      </c>
      <c r="R81">
        <v>3214849</v>
      </c>
      <c r="S81">
        <v>0.49199999999999999</v>
      </c>
      <c r="T81">
        <v>0.242064</v>
      </c>
      <c r="U81">
        <v>1.0858719999999999</v>
      </c>
      <c r="V81">
        <v>1</v>
      </c>
      <c r="W81">
        <v>0</v>
      </c>
      <c r="X81">
        <v>0</v>
      </c>
    </row>
    <row r="82" spans="1:24">
      <c r="A82">
        <v>27</v>
      </c>
      <c r="B82" t="s">
        <v>1034</v>
      </c>
      <c r="C82">
        <v>27</v>
      </c>
      <c r="D82">
        <v>2000</v>
      </c>
      <c r="E82">
        <v>33.602150000000002</v>
      </c>
      <c r="F82">
        <v>33.602150000000002</v>
      </c>
      <c r="G82">
        <v>61</v>
      </c>
      <c r="H82">
        <v>3721</v>
      </c>
      <c r="I82">
        <v>558000</v>
      </c>
      <c r="J82">
        <v>18.75</v>
      </c>
      <c r="K82">
        <v>4</v>
      </c>
      <c r="L82">
        <v>6</v>
      </c>
      <c r="M82">
        <v>10</v>
      </c>
      <c r="N82">
        <v>-1.29</v>
      </c>
      <c r="O82">
        <v>-0.9</v>
      </c>
      <c r="P82">
        <v>365.31650000000002</v>
      </c>
      <c r="Q82">
        <v>1720</v>
      </c>
      <c r="R82">
        <v>2958400</v>
      </c>
      <c r="S82">
        <v>0.55800000000000005</v>
      </c>
      <c r="T82">
        <v>0.31136399999999997</v>
      </c>
      <c r="U82">
        <v>1</v>
      </c>
      <c r="V82">
        <v>0</v>
      </c>
      <c r="W82">
        <v>1</v>
      </c>
      <c r="X82">
        <v>0</v>
      </c>
    </row>
    <row r="83" spans="1:24">
      <c r="A83">
        <v>27</v>
      </c>
      <c r="B83" t="s">
        <v>1034</v>
      </c>
      <c r="C83">
        <v>27</v>
      </c>
      <c r="D83">
        <v>2003</v>
      </c>
      <c r="E83">
        <v>40.807020000000001</v>
      </c>
      <c r="F83">
        <v>38.549999999999997</v>
      </c>
      <c r="G83">
        <v>54</v>
      </c>
      <c r="H83">
        <v>2916</v>
      </c>
      <c r="I83">
        <v>600142</v>
      </c>
      <c r="J83">
        <v>23.13</v>
      </c>
      <c r="K83">
        <v>4</v>
      </c>
      <c r="L83">
        <v>5</v>
      </c>
      <c r="M83">
        <v>9</v>
      </c>
      <c r="N83">
        <v>-1.21</v>
      </c>
      <c r="O83">
        <v>-1.03</v>
      </c>
      <c r="P83">
        <v>502.08370000000002</v>
      </c>
      <c r="Q83">
        <v>1720</v>
      </c>
      <c r="R83">
        <v>2958400</v>
      </c>
      <c r="S83">
        <v>0.6</v>
      </c>
      <c r="T83">
        <v>0.36</v>
      </c>
      <c r="U83">
        <v>0.94469000000000003</v>
      </c>
      <c r="V83">
        <v>0</v>
      </c>
      <c r="W83">
        <v>0</v>
      </c>
      <c r="X83">
        <v>1</v>
      </c>
    </row>
    <row r="84" spans="1:24">
      <c r="A84">
        <v>28</v>
      </c>
      <c r="B84" t="s">
        <v>1035</v>
      </c>
      <c r="C84">
        <v>28</v>
      </c>
      <c r="D84">
        <v>1995</v>
      </c>
      <c r="E84">
        <v>4.4091209999999998</v>
      </c>
      <c r="F84">
        <v>4.7877419999999997</v>
      </c>
      <c r="G84">
        <v>129</v>
      </c>
      <c r="H84">
        <v>16641</v>
      </c>
      <c r="I84">
        <v>44383000</v>
      </c>
      <c r="J84">
        <v>212.49430000000001</v>
      </c>
      <c r="K84">
        <v>4</v>
      </c>
      <c r="L84">
        <v>4</v>
      </c>
      <c r="M84">
        <v>8</v>
      </c>
      <c r="N84">
        <v>-1.24</v>
      </c>
      <c r="O84">
        <v>-0.7</v>
      </c>
      <c r="P84">
        <v>138.07210000000001</v>
      </c>
      <c r="Q84">
        <v>964</v>
      </c>
      <c r="R84">
        <v>929296</v>
      </c>
      <c r="S84">
        <v>44.383000000000003</v>
      </c>
      <c r="T84">
        <v>1969.8510000000001</v>
      </c>
      <c r="U84">
        <v>1.0858719999999999</v>
      </c>
      <c r="V84">
        <v>1</v>
      </c>
      <c r="W84">
        <v>0</v>
      </c>
      <c r="X84">
        <v>0</v>
      </c>
    </row>
    <row r="85" spans="1:24">
      <c r="A85">
        <v>28</v>
      </c>
      <c r="B85" t="s">
        <v>1035</v>
      </c>
      <c r="C85">
        <v>28</v>
      </c>
      <c r="D85">
        <v>2000</v>
      </c>
      <c r="E85">
        <v>3.7785920000000002</v>
      </c>
      <c r="F85">
        <v>3.7785920000000002</v>
      </c>
      <c r="G85">
        <v>129</v>
      </c>
      <c r="H85">
        <v>16641</v>
      </c>
      <c r="I85">
        <v>48571000</v>
      </c>
      <c r="J85">
        <v>183.53</v>
      </c>
      <c r="K85">
        <v>4</v>
      </c>
      <c r="L85">
        <v>6</v>
      </c>
      <c r="M85">
        <v>10</v>
      </c>
      <c r="N85">
        <v>-1.66</v>
      </c>
      <c r="O85">
        <v>-1.03</v>
      </c>
      <c r="P85">
        <v>88.619709999999998</v>
      </c>
      <c r="Q85">
        <v>684</v>
      </c>
      <c r="R85">
        <v>467856</v>
      </c>
      <c r="S85">
        <v>48.570999999999998</v>
      </c>
      <c r="T85">
        <v>2359.1419999999998</v>
      </c>
      <c r="U85">
        <v>1</v>
      </c>
      <c r="V85">
        <v>0</v>
      </c>
      <c r="W85">
        <v>1</v>
      </c>
      <c r="X85">
        <v>0</v>
      </c>
    </row>
    <row r="86" spans="1:24">
      <c r="A86">
        <v>28</v>
      </c>
      <c r="B86" t="s">
        <v>1035</v>
      </c>
      <c r="C86">
        <v>28</v>
      </c>
      <c r="D86">
        <v>2003</v>
      </c>
      <c r="E86">
        <v>101.235</v>
      </c>
      <c r="F86">
        <v>95.635720000000006</v>
      </c>
      <c r="G86">
        <v>129</v>
      </c>
      <c r="H86">
        <v>16641</v>
      </c>
      <c r="I86">
        <v>53153360</v>
      </c>
      <c r="J86">
        <v>5083.326</v>
      </c>
      <c r="K86">
        <v>4</v>
      </c>
      <c r="L86">
        <v>5</v>
      </c>
      <c r="M86">
        <v>9</v>
      </c>
      <c r="N86">
        <v>-1.25</v>
      </c>
      <c r="O86">
        <v>-1.1100000000000001</v>
      </c>
      <c r="P86">
        <v>100.79089999999999</v>
      </c>
      <c r="Q86">
        <v>628</v>
      </c>
      <c r="R86">
        <v>394384</v>
      </c>
      <c r="S86">
        <v>53.152999999999999</v>
      </c>
      <c r="T86">
        <v>2825.241</v>
      </c>
      <c r="U86">
        <v>0.94469000000000003</v>
      </c>
      <c r="V86">
        <v>0</v>
      </c>
      <c r="W86">
        <v>0</v>
      </c>
      <c r="X86">
        <v>1</v>
      </c>
    </row>
    <row r="87" spans="1:24">
      <c r="A87">
        <v>29</v>
      </c>
      <c r="B87" t="s">
        <v>1036</v>
      </c>
      <c r="C87">
        <v>29</v>
      </c>
      <c r="D87">
        <v>1995</v>
      </c>
      <c r="E87">
        <v>42.714579999999998</v>
      </c>
      <c r="F87">
        <v>46.382570000000001</v>
      </c>
      <c r="G87">
        <v>81</v>
      </c>
      <c r="H87">
        <v>6561</v>
      </c>
      <c r="I87">
        <v>2936000</v>
      </c>
      <c r="J87">
        <v>136.17920000000001</v>
      </c>
      <c r="K87">
        <v>6</v>
      </c>
      <c r="L87">
        <v>7</v>
      </c>
      <c r="M87">
        <v>13</v>
      </c>
      <c r="N87">
        <v>-2.0699999999999998</v>
      </c>
      <c r="O87">
        <v>-2.38</v>
      </c>
      <c r="P87">
        <v>782.59619999999995</v>
      </c>
      <c r="Q87">
        <v>1217</v>
      </c>
      <c r="R87">
        <v>1481089</v>
      </c>
      <c r="S87">
        <v>2.9359999999999999</v>
      </c>
      <c r="T87">
        <v>8.6200960000000002</v>
      </c>
      <c r="U87">
        <v>1.0858719999999999</v>
      </c>
      <c r="V87">
        <v>1</v>
      </c>
      <c r="W87">
        <v>0</v>
      </c>
      <c r="X87">
        <v>0</v>
      </c>
    </row>
    <row r="88" spans="1:24">
      <c r="A88">
        <v>29</v>
      </c>
      <c r="B88" t="s">
        <v>1036</v>
      </c>
      <c r="C88">
        <v>29</v>
      </c>
      <c r="D88">
        <v>2000</v>
      </c>
      <c r="E88">
        <v>9.6547719999999995</v>
      </c>
      <c r="F88">
        <v>9.6547719999999995</v>
      </c>
      <c r="G88">
        <v>81</v>
      </c>
      <c r="H88">
        <v>6561</v>
      </c>
      <c r="I88">
        <v>3447000</v>
      </c>
      <c r="J88">
        <v>33.28</v>
      </c>
      <c r="K88">
        <v>6</v>
      </c>
      <c r="L88">
        <v>7</v>
      </c>
      <c r="M88">
        <v>13</v>
      </c>
      <c r="N88">
        <v>-1.79</v>
      </c>
      <c r="O88">
        <v>-2.65</v>
      </c>
      <c r="P88">
        <v>934.11490000000003</v>
      </c>
      <c r="Q88">
        <v>961</v>
      </c>
      <c r="R88">
        <v>923521</v>
      </c>
      <c r="S88">
        <v>3.4470000000000001</v>
      </c>
      <c r="T88">
        <v>11.88181</v>
      </c>
      <c r="U88">
        <v>1</v>
      </c>
      <c r="V88">
        <v>0</v>
      </c>
      <c r="W88">
        <v>1</v>
      </c>
      <c r="X88">
        <v>0</v>
      </c>
    </row>
    <row r="89" spans="1:24">
      <c r="A89">
        <v>29</v>
      </c>
      <c r="B89" t="s">
        <v>1036</v>
      </c>
      <c r="C89">
        <v>29</v>
      </c>
      <c r="D89">
        <v>2003</v>
      </c>
      <c r="E89">
        <v>18.577349999999999</v>
      </c>
      <c r="F89">
        <v>17.54984</v>
      </c>
      <c r="G89">
        <v>81</v>
      </c>
      <c r="H89">
        <v>6561</v>
      </c>
      <c r="I89">
        <v>3757263</v>
      </c>
      <c r="J89">
        <v>65.934759999999997</v>
      </c>
      <c r="K89">
        <v>6</v>
      </c>
      <c r="L89">
        <v>6</v>
      </c>
      <c r="M89">
        <v>12</v>
      </c>
      <c r="N89">
        <v>-1.5</v>
      </c>
      <c r="O89">
        <v>-1.72</v>
      </c>
      <c r="P89">
        <v>896.18610000000001</v>
      </c>
      <c r="Q89">
        <v>911</v>
      </c>
      <c r="R89">
        <v>829921</v>
      </c>
      <c r="S89">
        <v>3.7570000000000001</v>
      </c>
      <c r="T89">
        <v>14.11505</v>
      </c>
      <c r="U89">
        <v>0.94469000000000003</v>
      </c>
      <c r="V89">
        <v>0</v>
      </c>
      <c r="W89">
        <v>0</v>
      </c>
      <c r="X89">
        <v>1</v>
      </c>
    </row>
    <row r="90" spans="1:24">
      <c r="A90">
        <v>30</v>
      </c>
      <c r="B90" t="s">
        <v>1037</v>
      </c>
      <c r="C90">
        <v>30</v>
      </c>
      <c r="D90">
        <v>1995</v>
      </c>
      <c r="E90">
        <v>9.9562679999999997</v>
      </c>
      <c r="F90">
        <v>10.81123</v>
      </c>
      <c r="G90">
        <v>14</v>
      </c>
      <c r="H90">
        <v>196</v>
      </c>
      <c r="I90">
        <v>3430000</v>
      </c>
      <c r="J90">
        <v>37.082529999999998</v>
      </c>
      <c r="K90">
        <v>2</v>
      </c>
      <c r="L90">
        <v>1</v>
      </c>
      <c r="M90">
        <v>3</v>
      </c>
      <c r="N90">
        <v>0.16</v>
      </c>
      <c r="O90">
        <v>0.68</v>
      </c>
      <c r="P90">
        <v>3711.0740000000001</v>
      </c>
      <c r="Q90">
        <v>7249</v>
      </c>
      <c r="R90">
        <v>52548001</v>
      </c>
      <c r="S90">
        <v>3.43</v>
      </c>
      <c r="T90">
        <v>11.764900000000001</v>
      </c>
      <c r="U90">
        <v>1.0858719999999999</v>
      </c>
      <c r="V90">
        <v>1</v>
      </c>
      <c r="W90">
        <v>0</v>
      </c>
      <c r="X90">
        <v>0</v>
      </c>
    </row>
    <row r="91" spans="1:24">
      <c r="A91">
        <v>30</v>
      </c>
      <c r="B91" t="s">
        <v>1037</v>
      </c>
      <c r="C91">
        <v>30</v>
      </c>
      <c r="D91">
        <v>2000</v>
      </c>
      <c r="E91">
        <v>3.086614</v>
      </c>
      <c r="F91">
        <v>3.086614</v>
      </c>
      <c r="G91">
        <v>10</v>
      </c>
      <c r="H91">
        <v>100</v>
      </c>
      <c r="I91">
        <v>3810000</v>
      </c>
      <c r="J91">
        <v>11.76</v>
      </c>
      <c r="K91">
        <v>2</v>
      </c>
      <c r="L91">
        <v>1</v>
      </c>
      <c r="M91">
        <v>3</v>
      </c>
      <c r="N91">
        <v>0.76</v>
      </c>
      <c r="O91">
        <v>0.92</v>
      </c>
      <c r="P91">
        <v>4185.3879999999999</v>
      </c>
      <c r="Q91">
        <v>8836</v>
      </c>
      <c r="R91">
        <v>78074896</v>
      </c>
      <c r="S91">
        <v>3.81</v>
      </c>
      <c r="T91">
        <v>14.5161</v>
      </c>
      <c r="U91">
        <v>1</v>
      </c>
      <c r="V91">
        <v>0</v>
      </c>
      <c r="W91">
        <v>1</v>
      </c>
      <c r="X91">
        <v>0</v>
      </c>
    </row>
    <row r="92" spans="1:24">
      <c r="A92">
        <v>30</v>
      </c>
      <c r="B92" t="s">
        <v>1037</v>
      </c>
      <c r="C92">
        <v>30</v>
      </c>
      <c r="D92">
        <v>2003</v>
      </c>
      <c r="E92">
        <v>7.0617380000000001</v>
      </c>
      <c r="F92">
        <v>6.6711549999999997</v>
      </c>
      <c r="G92">
        <v>8</v>
      </c>
      <c r="H92">
        <v>64</v>
      </c>
      <c r="I92">
        <v>4004680</v>
      </c>
      <c r="J92">
        <v>26.717980000000001</v>
      </c>
      <c r="K92">
        <v>2</v>
      </c>
      <c r="L92">
        <v>1</v>
      </c>
      <c r="M92">
        <v>3</v>
      </c>
      <c r="N92">
        <v>0.47</v>
      </c>
      <c r="O92">
        <v>0.72</v>
      </c>
      <c r="P92">
        <v>4124.7629999999999</v>
      </c>
      <c r="Q92">
        <v>9022</v>
      </c>
      <c r="R92">
        <v>81396484</v>
      </c>
      <c r="S92">
        <v>4.0049999999999999</v>
      </c>
      <c r="T92">
        <v>16.040030000000002</v>
      </c>
      <c r="U92">
        <v>0.94469000000000003</v>
      </c>
      <c r="V92">
        <v>0</v>
      </c>
      <c r="W92">
        <v>0</v>
      </c>
      <c r="X92">
        <v>1</v>
      </c>
    </row>
    <row r="93" spans="1:24">
      <c r="A93">
        <v>31</v>
      </c>
      <c r="B93" t="s">
        <v>1038</v>
      </c>
      <c r="C93">
        <v>31</v>
      </c>
      <c r="D93">
        <v>1995</v>
      </c>
      <c r="E93">
        <v>87.385440000000003</v>
      </c>
      <c r="F93">
        <v>94.889420000000001</v>
      </c>
      <c r="G93">
        <v>110</v>
      </c>
      <c r="H93">
        <v>12100</v>
      </c>
      <c r="I93">
        <v>13880000</v>
      </c>
      <c r="J93">
        <v>1317.0650000000001</v>
      </c>
      <c r="K93">
        <v>5</v>
      </c>
      <c r="L93">
        <v>6</v>
      </c>
      <c r="M93">
        <v>11</v>
      </c>
      <c r="N93">
        <v>-0.11</v>
      </c>
      <c r="O93">
        <v>-0.15</v>
      </c>
      <c r="P93">
        <v>860.57010000000002</v>
      </c>
      <c r="Q93">
        <v>1565</v>
      </c>
      <c r="R93">
        <v>2449225</v>
      </c>
      <c r="S93">
        <v>13.88</v>
      </c>
      <c r="T93">
        <v>192.65440000000001</v>
      </c>
      <c r="U93">
        <v>1.0858719999999999</v>
      </c>
      <c r="V93">
        <v>1</v>
      </c>
      <c r="W93">
        <v>0</v>
      </c>
      <c r="X93">
        <v>0</v>
      </c>
    </row>
    <row r="94" spans="1:24">
      <c r="A94">
        <v>31</v>
      </c>
      <c r="B94" t="s">
        <v>1038</v>
      </c>
      <c r="C94">
        <v>31</v>
      </c>
      <c r="D94">
        <v>2000</v>
      </c>
      <c r="E94">
        <v>22.22973</v>
      </c>
      <c r="F94">
        <v>22.22973</v>
      </c>
      <c r="G94">
        <v>115</v>
      </c>
      <c r="H94">
        <v>13225</v>
      </c>
      <c r="I94">
        <v>15827000</v>
      </c>
      <c r="J94">
        <v>351.82990000000001</v>
      </c>
      <c r="K94">
        <v>5</v>
      </c>
      <c r="L94">
        <v>6</v>
      </c>
      <c r="M94">
        <v>11</v>
      </c>
      <c r="N94">
        <v>-0.75</v>
      </c>
      <c r="O94">
        <v>-0.32</v>
      </c>
      <c r="P94">
        <v>669.6626</v>
      </c>
      <c r="Q94">
        <v>1585</v>
      </c>
      <c r="R94">
        <v>2512225</v>
      </c>
      <c r="S94">
        <v>15.827</v>
      </c>
      <c r="T94">
        <v>250.4939</v>
      </c>
      <c r="U94">
        <v>1</v>
      </c>
      <c r="V94">
        <v>0</v>
      </c>
      <c r="W94">
        <v>1</v>
      </c>
      <c r="X94">
        <v>0</v>
      </c>
    </row>
    <row r="95" spans="1:24">
      <c r="A95">
        <v>31</v>
      </c>
      <c r="B95" t="s">
        <v>1038</v>
      </c>
      <c r="C95">
        <v>31</v>
      </c>
      <c r="D95">
        <v>2003</v>
      </c>
      <c r="E95">
        <v>14.97617</v>
      </c>
      <c r="F95">
        <v>14.14784</v>
      </c>
      <c r="G95">
        <v>117</v>
      </c>
      <c r="H95">
        <v>13689</v>
      </c>
      <c r="I95">
        <v>16835420</v>
      </c>
      <c r="J95">
        <v>238.1789</v>
      </c>
      <c r="K95">
        <v>5</v>
      </c>
      <c r="L95">
        <v>6</v>
      </c>
      <c r="M95">
        <v>11</v>
      </c>
      <c r="N95">
        <v>-1.1000000000000001</v>
      </c>
      <c r="O95">
        <v>-0.61</v>
      </c>
      <c r="P95">
        <v>783.58690000000001</v>
      </c>
      <c r="Q95">
        <v>1417</v>
      </c>
      <c r="R95">
        <v>2007889</v>
      </c>
      <c r="S95">
        <v>16.835000000000001</v>
      </c>
      <c r="T95">
        <v>283.41719999999998</v>
      </c>
      <c r="U95">
        <v>0.94469000000000003</v>
      </c>
      <c r="V95">
        <v>0</v>
      </c>
      <c r="W95">
        <v>0</v>
      </c>
      <c r="X95">
        <v>1</v>
      </c>
    </row>
    <row r="96" spans="1:24">
      <c r="A96">
        <v>32</v>
      </c>
      <c r="B96" t="s">
        <v>1039</v>
      </c>
      <c r="C96">
        <v>32</v>
      </c>
      <c r="D96">
        <v>1995</v>
      </c>
      <c r="E96">
        <v>11.580299999999999</v>
      </c>
      <c r="F96">
        <v>12.574730000000001</v>
      </c>
      <c r="G96">
        <v>10</v>
      </c>
      <c r="H96">
        <v>100</v>
      </c>
      <c r="I96">
        <v>4670000</v>
      </c>
      <c r="J96">
        <v>58.723970000000001</v>
      </c>
      <c r="K96">
        <v>4</v>
      </c>
      <c r="L96">
        <v>4</v>
      </c>
      <c r="M96">
        <v>8</v>
      </c>
      <c r="N96">
        <v>-0.17</v>
      </c>
      <c r="O96">
        <v>-0.08</v>
      </c>
      <c r="P96">
        <v>4373.9979999999996</v>
      </c>
      <c r="Q96">
        <v>7430</v>
      </c>
      <c r="R96">
        <v>55204900</v>
      </c>
      <c r="S96">
        <v>4.67</v>
      </c>
      <c r="T96">
        <v>21.808900000000001</v>
      </c>
      <c r="U96">
        <v>1.0858719999999999</v>
      </c>
      <c r="V96">
        <v>1</v>
      </c>
      <c r="W96">
        <v>0</v>
      </c>
      <c r="X96">
        <v>0</v>
      </c>
    </row>
    <row r="97" spans="1:24">
      <c r="A97">
        <v>32</v>
      </c>
      <c r="B97" t="s">
        <v>1039</v>
      </c>
      <c r="C97">
        <v>32</v>
      </c>
      <c r="D97">
        <v>2000</v>
      </c>
      <c r="E97">
        <v>14.963469999999999</v>
      </c>
      <c r="F97">
        <v>14.963469999999999</v>
      </c>
      <c r="G97">
        <v>7</v>
      </c>
      <c r="H97">
        <v>49</v>
      </c>
      <c r="I97">
        <v>4380000</v>
      </c>
      <c r="J97">
        <v>65.540000000000006</v>
      </c>
      <c r="K97">
        <v>3</v>
      </c>
      <c r="L97">
        <v>2</v>
      </c>
      <c r="M97">
        <v>5</v>
      </c>
      <c r="N97">
        <v>0.15</v>
      </c>
      <c r="O97">
        <v>0.31</v>
      </c>
      <c r="P97">
        <v>4207.13</v>
      </c>
      <c r="Q97">
        <v>9565</v>
      </c>
      <c r="R97">
        <v>91489225</v>
      </c>
      <c r="S97">
        <v>4.38</v>
      </c>
      <c r="T97">
        <v>19.1844</v>
      </c>
      <c r="U97">
        <v>1</v>
      </c>
      <c r="V97">
        <v>0</v>
      </c>
      <c r="W97">
        <v>1</v>
      </c>
      <c r="X97">
        <v>0</v>
      </c>
    </row>
    <row r="98" spans="1:24">
      <c r="A98">
        <v>32</v>
      </c>
      <c r="B98" t="s">
        <v>1039</v>
      </c>
      <c r="C98">
        <v>32</v>
      </c>
      <c r="D98">
        <v>2003</v>
      </c>
      <c r="E98">
        <v>27.13148</v>
      </c>
      <c r="F98">
        <v>25.630849999999999</v>
      </c>
      <c r="G98">
        <v>6</v>
      </c>
      <c r="H98">
        <v>36</v>
      </c>
      <c r="I98">
        <v>4444653</v>
      </c>
      <c r="J98">
        <v>113.92910000000001</v>
      </c>
      <c r="K98">
        <v>2</v>
      </c>
      <c r="L98">
        <v>2</v>
      </c>
      <c r="M98">
        <v>4</v>
      </c>
      <c r="N98">
        <v>0.28000000000000003</v>
      </c>
      <c r="O98">
        <v>0.19</v>
      </c>
      <c r="P98">
        <v>6123.4290000000001</v>
      </c>
      <c r="Q98">
        <v>11025</v>
      </c>
      <c r="R98" s="87">
        <v>122000000</v>
      </c>
      <c r="S98">
        <v>4.4450000000000003</v>
      </c>
      <c r="T98">
        <v>19.758030000000002</v>
      </c>
      <c r="U98">
        <v>0.94469000000000003</v>
      </c>
      <c r="V98">
        <v>0</v>
      </c>
      <c r="W98">
        <v>0</v>
      </c>
      <c r="X98">
        <v>1</v>
      </c>
    </row>
    <row r="99" spans="1:24">
      <c r="A99">
        <v>33</v>
      </c>
      <c r="B99" t="s">
        <v>238</v>
      </c>
      <c r="C99">
        <v>33</v>
      </c>
      <c r="D99">
        <v>1995</v>
      </c>
      <c r="E99">
        <v>14.302580000000001</v>
      </c>
      <c r="F99">
        <v>15.53077</v>
      </c>
      <c r="G99">
        <v>7</v>
      </c>
      <c r="H99">
        <v>49</v>
      </c>
      <c r="I99">
        <v>10331000</v>
      </c>
      <c r="J99">
        <v>160.44839999999999</v>
      </c>
      <c r="K99">
        <v>2</v>
      </c>
      <c r="L99">
        <v>1</v>
      </c>
      <c r="M99">
        <v>3</v>
      </c>
      <c r="N99">
        <v>0.78</v>
      </c>
      <c r="O99">
        <v>1.18</v>
      </c>
      <c r="P99">
        <v>5808.5950000000003</v>
      </c>
      <c r="Q99">
        <v>13920</v>
      </c>
      <c r="R99" s="87">
        <v>194000000</v>
      </c>
      <c r="S99">
        <v>10.331</v>
      </c>
      <c r="T99">
        <v>106.7296</v>
      </c>
      <c r="U99">
        <v>1.0858719999999999</v>
      </c>
      <c r="V99">
        <v>1</v>
      </c>
      <c r="W99">
        <v>0</v>
      </c>
      <c r="X99">
        <v>0</v>
      </c>
    </row>
    <row r="100" spans="1:24">
      <c r="A100">
        <v>33</v>
      </c>
      <c r="B100" t="s">
        <v>238</v>
      </c>
      <c r="C100">
        <v>33</v>
      </c>
      <c r="D100">
        <v>2000</v>
      </c>
      <c r="E100">
        <v>42.649389999999997</v>
      </c>
      <c r="F100">
        <v>42.649389999999997</v>
      </c>
      <c r="G100">
        <v>4</v>
      </c>
      <c r="H100">
        <v>16</v>
      </c>
      <c r="I100">
        <v>10273300</v>
      </c>
      <c r="J100">
        <v>438.13720000000001</v>
      </c>
      <c r="K100">
        <v>2</v>
      </c>
      <c r="L100">
        <v>1</v>
      </c>
      <c r="M100">
        <v>3</v>
      </c>
      <c r="N100">
        <v>0.7</v>
      </c>
      <c r="O100">
        <v>0.67</v>
      </c>
      <c r="P100">
        <v>5422.55</v>
      </c>
      <c r="Q100">
        <v>15395</v>
      </c>
      <c r="R100" s="87">
        <v>237000000</v>
      </c>
      <c r="S100">
        <v>10.273</v>
      </c>
      <c r="T100">
        <v>105.53449999999999</v>
      </c>
      <c r="U100">
        <v>1</v>
      </c>
      <c r="V100">
        <v>0</v>
      </c>
      <c r="W100">
        <v>1</v>
      </c>
      <c r="X100">
        <v>0</v>
      </c>
    </row>
    <row r="101" spans="1:24">
      <c r="A101">
        <v>33</v>
      </c>
      <c r="B101" t="s">
        <v>238</v>
      </c>
      <c r="C101">
        <v>33</v>
      </c>
      <c r="D101">
        <v>2003</v>
      </c>
      <c r="E101">
        <v>25.805730000000001</v>
      </c>
      <c r="F101">
        <v>24.378419999999998</v>
      </c>
      <c r="G101">
        <v>4</v>
      </c>
      <c r="H101">
        <v>16</v>
      </c>
      <c r="I101">
        <v>10202000</v>
      </c>
      <c r="J101">
        <v>248.70869999999999</v>
      </c>
      <c r="K101">
        <v>2</v>
      </c>
      <c r="L101">
        <v>1</v>
      </c>
      <c r="M101">
        <v>3</v>
      </c>
      <c r="N101">
        <v>0.68</v>
      </c>
      <c r="O101">
        <v>1.04</v>
      </c>
      <c r="P101">
        <v>8373.0759999999991</v>
      </c>
      <c r="Q101">
        <v>17149</v>
      </c>
      <c r="R101" s="87">
        <v>294000000</v>
      </c>
      <c r="S101">
        <v>10.202</v>
      </c>
      <c r="T101">
        <v>104.0808</v>
      </c>
      <c r="U101">
        <v>0.94469000000000003</v>
      </c>
      <c r="V101">
        <v>0</v>
      </c>
      <c r="W101">
        <v>0</v>
      </c>
      <c r="X101">
        <v>1</v>
      </c>
    </row>
    <row r="102" spans="1:24">
      <c r="A102">
        <v>34</v>
      </c>
      <c r="B102" t="s">
        <v>1040</v>
      </c>
      <c r="C102">
        <v>34</v>
      </c>
      <c r="D102">
        <v>1995</v>
      </c>
      <c r="E102">
        <v>181.2414</v>
      </c>
      <c r="F102">
        <v>196.80500000000001</v>
      </c>
      <c r="G102">
        <v>111</v>
      </c>
      <c r="H102">
        <v>12321</v>
      </c>
      <c r="I102">
        <v>580000</v>
      </c>
      <c r="J102">
        <v>114.1469</v>
      </c>
      <c r="K102">
        <v>6</v>
      </c>
      <c r="L102">
        <v>5</v>
      </c>
      <c r="M102">
        <v>11</v>
      </c>
      <c r="N102">
        <v>-1.1100000000000001</v>
      </c>
      <c r="O102">
        <v>0.01</v>
      </c>
      <c r="P102">
        <v>931.8356</v>
      </c>
      <c r="Q102">
        <v>2273</v>
      </c>
      <c r="R102">
        <v>5166529</v>
      </c>
      <c r="S102">
        <v>0.57999999999999996</v>
      </c>
      <c r="T102">
        <v>0.33639999999999998</v>
      </c>
      <c r="U102">
        <v>1.0858719999999999</v>
      </c>
      <c r="V102">
        <v>1</v>
      </c>
      <c r="W102">
        <v>0</v>
      </c>
      <c r="X102">
        <v>0</v>
      </c>
    </row>
    <row r="103" spans="1:24">
      <c r="A103">
        <v>34</v>
      </c>
      <c r="B103" t="s">
        <v>1040</v>
      </c>
      <c r="C103">
        <v>34</v>
      </c>
      <c r="D103">
        <v>2000</v>
      </c>
      <c r="E103">
        <v>107.1772</v>
      </c>
      <c r="F103">
        <v>107.1772</v>
      </c>
      <c r="G103">
        <v>102</v>
      </c>
      <c r="H103">
        <v>10404</v>
      </c>
      <c r="I103">
        <v>666000</v>
      </c>
      <c r="J103">
        <v>71.380020000000002</v>
      </c>
      <c r="K103">
        <v>5</v>
      </c>
      <c r="L103">
        <v>4</v>
      </c>
      <c r="M103">
        <v>9</v>
      </c>
      <c r="N103">
        <v>-1.07</v>
      </c>
      <c r="O103">
        <v>-0.66</v>
      </c>
      <c r="P103">
        <v>830.22299999999996</v>
      </c>
      <c r="Q103">
        <v>1972</v>
      </c>
      <c r="R103">
        <v>3888784</v>
      </c>
      <c r="S103">
        <v>0.66600000000000004</v>
      </c>
      <c r="T103">
        <v>0.44355600000000001</v>
      </c>
      <c r="U103">
        <v>1</v>
      </c>
      <c r="V103">
        <v>0</v>
      </c>
      <c r="W103">
        <v>1</v>
      </c>
      <c r="X103">
        <v>0</v>
      </c>
    </row>
    <row r="104" spans="1:24">
      <c r="A104">
        <v>34</v>
      </c>
      <c r="B104" t="s">
        <v>1040</v>
      </c>
      <c r="C104">
        <v>34</v>
      </c>
      <c r="D104">
        <v>2003</v>
      </c>
      <c r="E104">
        <v>110.2937</v>
      </c>
      <c r="F104">
        <v>104.1934</v>
      </c>
      <c r="G104">
        <v>97</v>
      </c>
      <c r="H104">
        <v>9409</v>
      </c>
      <c r="I104">
        <v>705480</v>
      </c>
      <c r="J104">
        <v>73.456339999999997</v>
      </c>
      <c r="K104">
        <v>5</v>
      </c>
      <c r="L104">
        <v>5</v>
      </c>
      <c r="M104">
        <v>10</v>
      </c>
      <c r="N104">
        <v>-0.82</v>
      </c>
      <c r="O104">
        <v>-0.71</v>
      </c>
      <c r="P104">
        <v>836.87929999999994</v>
      </c>
      <c r="Q104">
        <v>1944</v>
      </c>
      <c r="R104">
        <v>3779136</v>
      </c>
      <c r="S104">
        <v>0.70499999999999996</v>
      </c>
      <c r="T104">
        <v>0.49702499999999999</v>
      </c>
      <c r="U104">
        <v>0.94469000000000003</v>
      </c>
      <c r="V104">
        <v>0</v>
      </c>
      <c r="W104">
        <v>0</v>
      </c>
      <c r="X104">
        <v>1</v>
      </c>
    </row>
    <row r="105" spans="1:24">
      <c r="A105">
        <v>35</v>
      </c>
      <c r="B105" t="s">
        <v>1041</v>
      </c>
      <c r="C105">
        <v>35</v>
      </c>
      <c r="D105">
        <v>1995</v>
      </c>
      <c r="E105">
        <v>343.5616</v>
      </c>
      <c r="F105">
        <v>373.06400000000002</v>
      </c>
      <c r="G105">
        <v>17</v>
      </c>
      <c r="H105">
        <v>289</v>
      </c>
      <c r="I105">
        <v>73000</v>
      </c>
      <c r="J105">
        <v>27.23367</v>
      </c>
      <c r="K105">
        <v>1</v>
      </c>
      <c r="L105">
        <v>1</v>
      </c>
      <c r="M105">
        <v>2</v>
      </c>
      <c r="N105">
        <v>-0.88</v>
      </c>
      <c r="O105">
        <v>-0.21</v>
      </c>
      <c r="P105">
        <v>3332.5419999999999</v>
      </c>
      <c r="Q105">
        <v>4898</v>
      </c>
      <c r="R105">
        <v>23990404</v>
      </c>
      <c r="S105">
        <v>7.2999999999999995E-2</v>
      </c>
      <c r="T105">
        <v>5.3290000000000004E-3</v>
      </c>
      <c r="U105">
        <v>1.0858719999999999</v>
      </c>
      <c r="V105">
        <v>1</v>
      </c>
      <c r="W105">
        <v>0</v>
      </c>
      <c r="X105">
        <v>0</v>
      </c>
    </row>
    <row r="106" spans="1:24">
      <c r="A106">
        <v>35</v>
      </c>
      <c r="B106" t="s">
        <v>1041</v>
      </c>
      <c r="C106">
        <v>35</v>
      </c>
      <c r="D106">
        <v>2000</v>
      </c>
      <c r="E106">
        <v>213.5146</v>
      </c>
      <c r="F106">
        <v>213.5146</v>
      </c>
      <c r="G106">
        <v>14</v>
      </c>
      <c r="H106">
        <v>196</v>
      </c>
      <c r="I106">
        <v>71330</v>
      </c>
      <c r="J106">
        <v>15.15954</v>
      </c>
      <c r="K106">
        <v>1</v>
      </c>
      <c r="L106">
        <v>1</v>
      </c>
      <c r="M106">
        <v>2</v>
      </c>
      <c r="N106">
        <v>-0.67</v>
      </c>
      <c r="O106">
        <v>-0.13</v>
      </c>
      <c r="P106">
        <v>3801.6320000000001</v>
      </c>
      <c r="Q106">
        <v>5931</v>
      </c>
      <c r="R106">
        <v>35176761</v>
      </c>
      <c r="S106">
        <v>7.0999999999999994E-2</v>
      </c>
      <c r="T106">
        <v>5.0410000000000003E-3</v>
      </c>
      <c r="U106">
        <v>1</v>
      </c>
      <c r="V106">
        <v>0</v>
      </c>
      <c r="W106">
        <v>1</v>
      </c>
      <c r="X106">
        <v>0</v>
      </c>
    </row>
    <row r="107" spans="1:24">
      <c r="A107">
        <v>35</v>
      </c>
      <c r="B107" t="s">
        <v>1041</v>
      </c>
      <c r="C107">
        <v>35</v>
      </c>
      <c r="D107">
        <v>2003</v>
      </c>
      <c r="E107">
        <v>153.4836</v>
      </c>
      <c r="F107">
        <v>144.99449999999999</v>
      </c>
      <c r="G107">
        <v>12</v>
      </c>
      <c r="H107">
        <v>144</v>
      </c>
      <c r="I107">
        <v>71213</v>
      </c>
      <c r="J107">
        <v>10.29461</v>
      </c>
      <c r="K107">
        <v>1</v>
      </c>
      <c r="L107">
        <v>1</v>
      </c>
      <c r="M107">
        <v>2</v>
      </c>
      <c r="N107">
        <v>0.21</v>
      </c>
      <c r="O107">
        <v>0.65</v>
      </c>
      <c r="P107">
        <v>3425.0160000000001</v>
      </c>
      <c r="Q107">
        <v>5125</v>
      </c>
      <c r="R107">
        <v>26265625</v>
      </c>
      <c r="S107">
        <v>7.0999999999999994E-2</v>
      </c>
      <c r="T107">
        <v>5.0410000000000003E-3</v>
      </c>
      <c r="U107">
        <v>0.94469000000000003</v>
      </c>
      <c r="V107">
        <v>0</v>
      </c>
      <c r="W107">
        <v>0</v>
      </c>
      <c r="X107">
        <v>1</v>
      </c>
    </row>
    <row r="108" spans="1:24">
      <c r="A108">
        <v>36</v>
      </c>
      <c r="B108" t="s">
        <v>1042</v>
      </c>
      <c r="C108">
        <v>36</v>
      </c>
      <c r="D108">
        <v>1995</v>
      </c>
      <c r="E108">
        <v>15.584910000000001</v>
      </c>
      <c r="F108">
        <v>16.923220000000001</v>
      </c>
      <c r="G108">
        <v>42</v>
      </c>
      <c r="H108">
        <v>1764</v>
      </c>
      <c r="I108">
        <v>7685000</v>
      </c>
      <c r="J108">
        <v>130.0549</v>
      </c>
      <c r="K108">
        <v>3</v>
      </c>
      <c r="L108">
        <v>4</v>
      </c>
      <c r="M108">
        <v>7</v>
      </c>
      <c r="N108">
        <v>-0.28999999999999998</v>
      </c>
      <c r="O108">
        <v>0.14000000000000001</v>
      </c>
      <c r="P108">
        <v>1778.2139999999999</v>
      </c>
      <c r="Q108">
        <v>4808</v>
      </c>
      <c r="R108">
        <v>23116864</v>
      </c>
      <c r="S108">
        <v>7.6849999999999996</v>
      </c>
      <c r="T108">
        <v>59.059229999999999</v>
      </c>
      <c r="U108">
        <v>1.0858719999999999</v>
      </c>
      <c r="V108">
        <v>1</v>
      </c>
      <c r="W108">
        <v>0</v>
      </c>
      <c r="X108">
        <v>0</v>
      </c>
    </row>
    <row r="109" spans="1:24">
      <c r="A109">
        <v>36</v>
      </c>
      <c r="B109" t="s">
        <v>1042</v>
      </c>
      <c r="C109">
        <v>36</v>
      </c>
      <c r="D109">
        <v>2000</v>
      </c>
      <c r="E109">
        <v>7.4751589999999997</v>
      </c>
      <c r="F109">
        <v>7.4751589999999997</v>
      </c>
      <c r="G109">
        <v>33</v>
      </c>
      <c r="H109">
        <v>1089</v>
      </c>
      <c r="I109">
        <v>8353000</v>
      </c>
      <c r="J109">
        <v>62.44</v>
      </c>
      <c r="K109">
        <v>2</v>
      </c>
      <c r="L109">
        <v>2</v>
      </c>
      <c r="M109">
        <v>4</v>
      </c>
      <c r="N109">
        <v>-0.11</v>
      </c>
      <c r="O109">
        <v>0.52</v>
      </c>
      <c r="P109">
        <v>2358.8270000000002</v>
      </c>
      <c r="Q109">
        <v>6349</v>
      </c>
      <c r="R109">
        <v>40309801</v>
      </c>
      <c r="S109">
        <v>8.3529999999999998</v>
      </c>
      <c r="T109">
        <v>69.77261</v>
      </c>
      <c r="U109">
        <v>1</v>
      </c>
      <c r="V109">
        <v>0</v>
      </c>
      <c r="W109">
        <v>1</v>
      </c>
      <c r="X109">
        <v>0</v>
      </c>
    </row>
    <row r="110" spans="1:24">
      <c r="A110">
        <v>36</v>
      </c>
      <c r="B110" t="s">
        <v>1042</v>
      </c>
      <c r="C110">
        <v>36</v>
      </c>
      <c r="D110">
        <v>2003</v>
      </c>
      <c r="E110">
        <v>7.8913890000000002</v>
      </c>
      <c r="F110">
        <v>7.4549190000000003</v>
      </c>
      <c r="G110">
        <v>29</v>
      </c>
      <c r="H110">
        <v>841</v>
      </c>
      <c r="I110">
        <v>8738639</v>
      </c>
      <c r="J110">
        <v>65.148529999999994</v>
      </c>
      <c r="K110">
        <v>2</v>
      </c>
      <c r="L110">
        <v>3</v>
      </c>
      <c r="M110">
        <v>5</v>
      </c>
      <c r="N110">
        <v>-0.44</v>
      </c>
      <c r="O110">
        <v>-0.2</v>
      </c>
      <c r="P110">
        <v>1788.1479999999999</v>
      </c>
      <c r="Q110">
        <v>6715</v>
      </c>
      <c r="R110">
        <v>45091225</v>
      </c>
      <c r="S110">
        <v>8.7390000000000008</v>
      </c>
      <c r="T110">
        <v>76.37012</v>
      </c>
      <c r="U110">
        <v>0.94469000000000003</v>
      </c>
      <c r="V110">
        <v>0</v>
      </c>
      <c r="W110">
        <v>0</v>
      </c>
      <c r="X110">
        <v>1</v>
      </c>
    </row>
    <row r="111" spans="1:24">
      <c r="A111">
        <v>37</v>
      </c>
      <c r="B111" t="s">
        <v>158</v>
      </c>
      <c r="C111">
        <v>37</v>
      </c>
      <c r="D111">
        <v>1995</v>
      </c>
      <c r="E111">
        <v>19.914940000000001</v>
      </c>
      <c r="F111">
        <v>21.625080000000001</v>
      </c>
      <c r="G111">
        <v>34</v>
      </c>
      <c r="H111">
        <v>1156</v>
      </c>
      <c r="I111">
        <v>11404000</v>
      </c>
      <c r="J111">
        <v>246.61240000000001</v>
      </c>
      <c r="K111">
        <v>3</v>
      </c>
      <c r="L111">
        <v>2</v>
      </c>
      <c r="M111">
        <v>5</v>
      </c>
      <c r="N111">
        <v>-0.65</v>
      </c>
      <c r="O111">
        <v>-0.05</v>
      </c>
      <c r="P111">
        <v>1923.9559999999999</v>
      </c>
      <c r="Q111">
        <v>3326</v>
      </c>
      <c r="R111">
        <v>11062276</v>
      </c>
      <c r="S111">
        <v>11.404</v>
      </c>
      <c r="T111">
        <v>130.05119999999999</v>
      </c>
      <c r="U111">
        <v>1.0858719999999999</v>
      </c>
      <c r="V111">
        <v>1</v>
      </c>
      <c r="W111">
        <v>0</v>
      </c>
      <c r="X111">
        <v>0</v>
      </c>
    </row>
    <row r="112" spans="1:24">
      <c r="A112">
        <v>37</v>
      </c>
      <c r="B112" t="s">
        <v>158</v>
      </c>
      <c r="C112">
        <v>37</v>
      </c>
      <c r="D112">
        <v>2000</v>
      </c>
      <c r="E112">
        <v>11.820449999999999</v>
      </c>
      <c r="F112">
        <v>11.820449999999999</v>
      </c>
      <c r="G112">
        <v>27</v>
      </c>
      <c r="H112">
        <v>729</v>
      </c>
      <c r="I112">
        <v>12420000</v>
      </c>
      <c r="J112">
        <v>146.81</v>
      </c>
      <c r="K112">
        <v>3</v>
      </c>
      <c r="L112">
        <v>3</v>
      </c>
      <c r="M112">
        <v>6</v>
      </c>
      <c r="N112">
        <v>-1.05</v>
      </c>
      <c r="O112">
        <v>-0.19</v>
      </c>
      <c r="P112">
        <v>1283.546</v>
      </c>
      <c r="Q112">
        <v>3351</v>
      </c>
      <c r="R112">
        <v>11229201</v>
      </c>
      <c r="S112">
        <v>12.42</v>
      </c>
      <c r="T112">
        <v>154.25640000000001</v>
      </c>
      <c r="U112">
        <v>1</v>
      </c>
      <c r="V112">
        <v>0</v>
      </c>
      <c r="W112">
        <v>1</v>
      </c>
      <c r="X112">
        <v>0</v>
      </c>
    </row>
    <row r="113" spans="1:24">
      <c r="A113">
        <v>37</v>
      </c>
      <c r="B113" t="s">
        <v>158</v>
      </c>
      <c r="C113">
        <v>37</v>
      </c>
      <c r="D113">
        <v>2003</v>
      </c>
      <c r="E113">
        <v>13.54326</v>
      </c>
      <c r="F113">
        <v>12.79419</v>
      </c>
      <c r="G113">
        <v>24</v>
      </c>
      <c r="H113">
        <v>576</v>
      </c>
      <c r="I113">
        <v>13007940</v>
      </c>
      <c r="J113">
        <v>166.42679999999999</v>
      </c>
      <c r="K113">
        <v>3</v>
      </c>
      <c r="L113">
        <v>3</v>
      </c>
      <c r="M113">
        <v>6</v>
      </c>
      <c r="N113">
        <v>-0.89</v>
      </c>
      <c r="O113">
        <v>-0.59</v>
      </c>
      <c r="P113">
        <v>1975.4459999999999</v>
      </c>
      <c r="Q113">
        <v>3440</v>
      </c>
      <c r="R113">
        <v>11833600</v>
      </c>
      <c r="S113">
        <v>13.007999999999999</v>
      </c>
      <c r="T113">
        <v>169.2081</v>
      </c>
      <c r="U113">
        <v>0.94469000000000003</v>
      </c>
      <c r="V113">
        <v>0</v>
      </c>
      <c r="W113">
        <v>0</v>
      </c>
      <c r="X113">
        <v>1</v>
      </c>
    </row>
    <row r="114" spans="1:24">
      <c r="A114">
        <v>38</v>
      </c>
      <c r="B114" t="s">
        <v>1043</v>
      </c>
      <c r="C114">
        <v>38</v>
      </c>
      <c r="D114">
        <v>1995</v>
      </c>
      <c r="E114">
        <v>34.655380000000001</v>
      </c>
      <c r="F114">
        <v>37.631309999999999</v>
      </c>
      <c r="G114">
        <v>56</v>
      </c>
      <c r="H114">
        <v>3136</v>
      </c>
      <c r="I114">
        <v>58180000</v>
      </c>
      <c r="J114">
        <v>2189.39</v>
      </c>
      <c r="K114">
        <v>6</v>
      </c>
      <c r="L114">
        <v>6</v>
      </c>
      <c r="M114">
        <v>12</v>
      </c>
      <c r="N114">
        <v>-0.34</v>
      </c>
      <c r="O114">
        <v>-0.14000000000000001</v>
      </c>
      <c r="P114">
        <v>1122.8130000000001</v>
      </c>
      <c r="Q114">
        <v>3025</v>
      </c>
      <c r="R114">
        <v>9150625</v>
      </c>
      <c r="S114">
        <v>58.18</v>
      </c>
      <c r="T114">
        <v>3384.9119999999998</v>
      </c>
      <c r="U114">
        <v>1.0858719999999999</v>
      </c>
      <c r="V114">
        <v>1</v>
      </c>
      <c r="W114">
        <v>0</v>
      </c>
      <c r="X114">
        <v>0</v>
      </c>
    </row>
    <row r="115" spans="1:24">
      <c r="A115">
        <v>38</v>
      </c>
      <c r="B115" t="s">
        <v>1043</v>
      </c>
      <c r="C115">
        <v>38</v>
      </c>
      <c r="D115">
        <v>2000</v>
      </c>
      <c r="E115">
        <v>20.763719999999999</v>
      </c>
      <c r="F115">
        <v>20.763719999999999</v>
      </c>
      <c r="G115">
        <v>40</v>
      </c>
      <c r="H115">
        <v>1600</v>
      </c>
      <c r="I115">
        <v>63976000</v>
      </c>
      <c r="J115">
        <v>1328.38</v>
      </c>
      <c r="K115">
        <v>5</v>
      </c>
      <c r="L115">
        <v>6</v>
      </c>
      <c r="M115">
        <v>11</v>
      </c>
      <c r="N115">
        <v>0.3</v>
      </c>
      <c r="O115">
        <v>0.01</v>
      </c>
      <c r="P115">
        <v>1554.1389999999999</v>
      </c>
      <c r="Q115">
        <v>3534</v>
      </c>
      <c r="R115">
        <v>12489156</v>
      </c>
      <c r="S115">
        <v>63.975999999999999</v>
      </c>
      <c r="T115">
        <v>4092.9290000000001</v>
      </c>
      <c r="U115">
        <v>1</v>
      </c>
      <c r="V115">
        <v>0</v>
      </c>
      <c r="W115">
        <v>1</v>
      </c>
      <c r="X115">
        <v>0</v>
      </c>
    </row>
    <row r="116" spans="1:24">
      <c r="A116">
        <v>38</v>
      </c>
      <c r="B116" t="s">
        <v>1043</v>
      </c>
      <c r="C116">
        <v>38</v>
      </c>
      <c r="D116">
        <v>2003</v>
      </c>
      <c r="E116">
        <v>13.22932</v>
      </c>
      <c r="F116">
        <v>12.49761</v>
      </c>
      <c r="G116">
        <v>33</v>
      </c>
      <c r="H116">
        <v>1089</v>
      </c>
      <c r="I116">
        <v>67559040</v>
      </c>
      <c r="J116">
        <v>844.3261</v>
      </c>
      <c r="K116">
        <v>6</v>
      </c>
      <c r="L116">
        <v>6</v>
      </c>
      <c r="M116">
        <v>12</v>
      </c>
      <c r="N116">
        <v>-0.25</v>
      </c>
      <c r="O116">
        <v>-0.52</v>
      </c>
      <c r="P116">
        <v>1152.5930000000001</v>
      </c>
      <c r="Q116">
        <v>3731</v>
      </c>
      <c r="R116">
        <v>13920361</v>
      </c>
      <c r="S116">
        <v>67.558999999999997</v>
      </c>
      <c r="T116">
        <v>4564.2179999999998</v>
      </c>
      <c r="U116">
        <v>0.94469000000000003</v>
      </c>
      <c r="V116">
        <v>0</v>
      </c>
      <c r="W116">
        <v>0</v>
      </c>
      <c r="X116">
        <v>1</v>
      </c>
    </row>
    <row r="117" spans="1:24">
      <c r="A117">
        <v>39</v>
      </c>
      <c r="B117" t="s">
        <v>1044</v>
      </c>
      <c r="C117">
        <v>39</v>
      </c>
      <c r="D117">
        <v>1995</v>
      </c>
      <c r="E117">
        <v>52.429000000000002</v>
      </c>
      <c r="F117">
        <v>56.931190000000001</v>
      </c>
      <c r="G117">
        <v>38</v>
      </c>
      <c r="H117">
        <v>1444</v>
      </c>
      <c r="I117">
        <v>5669000</v>
      </c>
      <c r="J117">
        <v>322.74290000000002</v>
      </c>
      <c r="K117">
        <v>3</v>
      </c>
      <c r="L117">
        <v>3</v>
      </c>
      <c r="M117">
        <v>6</v>
      </c>
      <c r="N117">
        <v>-0.38</v>
      </c>
      <c r="O117">
        <v>0.73</v>
      </c>
      <c r="P117">
        <v>1819.7819999999999</v>
      </c>
      <c r="Q117">
        <v>4371</v>
      </c>
      <c r="R117">
        <v>19105641</v>
      </c>
      <c r="S117">
        <v>5.6689999999999996</v>
      </c>
      <c r="T117">
        <v>32.137560000000001</v>
      </c>
      <c r="U117">
        <v>1.0858719999999999</v>
      </c>
      <c r="V117">
        <v>1</v>
      </c>
      <c r="W117">
        <v>0</v>
      </c>
      <c r="X117">
        <v>0</v>
      </c>
    </row>
    <row r="118" spans="1:24">
      <c r="A118">
        <v>39</v>
      </c>
      <c r="B118" t="s">
        <v>1044</v>
      </c>
      <c r="C118">
        <v>39</v>
      </c>
      <c r="D118">
        <v>2000</v>
      </c>
      <c r="E118">
        <v>28.990179999999999</v>
      </c>
      <c r="F118">
        <v>28.990179999999999</v>
      </c>
      <c r="G118">
        <v>34</v>
      </c>
      <c r="H118">
        <v>1156</v>
      </c>
      <c r="I118">
        <v>6209000</v>
      </c>
      <c r="J118">
        <v>180</v>
      </c>
      <c r="K118">
        <v>3</v>
      </c>
      <c r="L118">
        <v>2</v>
      </c>
      <c r="M118">
        <v>5</v>
      </c>
      <c r="N118">
        <v>-0.11</v>
      </c>
      <c r="O118">
        <v>1.1499999999999999</v>
      </c>
      <c r="P118">
        <v>2115.3330000000001</v>
      </c>
      <c r="Q118">
        <v>4683</v>
      </c>
      <c r="R118">
        <v>21930489</v>
      </c>
      <c r="S118">
        <v>6.2089999999999996</v>
      </c>
      <c r="T118">
        <v>38.551679999999998</v>
      </c>
      <c r="U118">
        <v>1</v>
      </c>
      <c r="V118">
        <v>0</v>
      </c>
      <c r="W118">
        <v>1</v>
      </c>
      <c r="X118">
        <v>0</v>
      </c>
    </row>
    <row r="119" spans="1:24">
      <c r="A119">
        <v>39</v>
      </c>
      <c r="B119" t="s">
        <v>1044</v>
      </c>
      <c r="C119">
        <v>39</v>
      </c>
      <c r="D119">
        <v>2003</v>
      </c>
      <c r="E119">
        <v>29.35615</v>
      </c>
      <c r="F119">
        <v>27.732469999999999</v>
      </c>
      <c r="G119">
        <v>32</v>
      </c>
      <c r="H119">
        <v>1024</v>
      </c>
      <c r="I119">
        <v>6533215</v>
      </c>
      <c r="J119">
        <v>181.17619999999999</v>
      </c>
      <c r="K119">
        <v>3</v>
      </c>
      <c r="L119">
        <v>2</v>
      </c>
      <c r="M119">
        <v>5</v>
      </c>
      <c r="N119">
        <v>-0.36</v>
      </c>
      <c r="O119">
        <v>0.32</v>
      </c>
      <c r="P119">
        <v>2160.3389999999999</v>
      </c>
      <c r="Q119">
        <v>4750</v>
      </c>
      <c r="R119">
        <v>22562500</v>
      </c>
      <c r="S119">
        <v>6.5330000000000004</v>
      </c>
      <c r="T119">
        <v>42.68009</v>
      </c>
      <c r="U119">
        <v>0.94469000000000003</v>
      </c>
      <c r="V119">
        <v>0</v>
      </c>
      <c r="W119">
        <v>0</v>
      </c>
      <c r="X119">
        <v>1</v>
      </c>
    </row>
    <row r="120" spans="1:24">
      <c r="A120">
        <v>40</v>
      </c>
      <c r="B120" t="s">
        <v>1045</v>
      </c>
      <c r="C120">
        <v>40</v>
      </c>
      <c r="D120">
        <v>1995</v>
      </c>
      <c r="E120">
        <v>83.715710000000001</v>
      </c>
      <c r="F120">
        <v>90.904560000000004</v>
      </c>
      <c r="G120">
        <v>113</v>
      </c>
      <c r="H120">
        <v>12769</v>
      </c>
      <c r="I120">
        <v>401000</v>
      </c>
      <c r="J120">
        <v>36.452730000000003</v>
      </c>
      <c r="K120">
        <v>7</v>
      </c>
      <c r="L120">
        <v>7</v>
      </c>
      <c r="M120">
        <v>14</v>
      </c>
      <c r="N120">
        <v>-1.55</v>
      </c>
      <c r="O120">
        <v>-0.95</v>
      </c>
      <c r="P120">
        <v>444.04349999999999</v>
      </c>
      <c r="Q120">
        <v>1589</v>
      </c>
      <c r="R120">
        <v>2524921</v>
      </c>
      <c r="S120">
        <v>0.40100000000000002</v>
      </c>
      <c r="T120">
        <v>0.160801</v>
      </c>
      <c r="U120">
        <v>1.0858719999999999</v>
      </c>
      <c r="V120">
        <v>1</v>
      </c>
      <c r="W120">
        <v>0</v>
      </c>
      <c r="X120">
        <v>0</v>
      </c>
    </row>
    <row r="121" spans="1:24">
      <c r="A121">
        <v>40</v>
      </c>
      <c r="B121" t="s">
        <v>1045</v>
      </c>
      <c r="C121">
        <v>40</v>
      </c>
      <c r="D121">
        <v>2000</v>
      </c>
      <c r="E121">
        <v>46.506549999999997</v>
      </c>
      <c r="F121">
        <v>46.506549999999997</v>
      </c>
      <c r="G121">
        <v>103</v>
      </c>
      <c r="H121">
        <v>10609</v>
      </c>
      <c r="I121">
        <v>458000</v>
      </c>
      <c r="J121">
        <v>21.3</v>
      </c>
      <c r="K121">
        <v>7</v>
      </c>
      <c r="L121">
        <v>7</v>
      </c>
      <c r="M121">
        <v>14</v>
      </c>
      <c r="N121">
        <v>-2.2200000000000002</v>
      </c>
      <c r="O121">
        <v>-1.31</v>
      </c>
      <c r="P121">
        <v>2928.0549999999998</v>
      </c>
      <c r="Q121">
        <v>1504</v>
      </c>
      <c r="R121">
        <v>2262016</v>
      </c>
      <c r="S121">
        <v>0.45800000000000002</v>
      </c>
      <c r="T121">
        <v>0.20976400000000001</v>
      </c>
      <c r="U121">
        <v>1</v>
      </c>
      <c r="V121">
        <v>0</v>
      </c>
      <c r="W121">
        <v>1</v>
      </c>
      <c r="X121">
        <v>0</v>
      </c>
    </row>
    <row r="122" spans="1:24">
      <c r="A122">
        <v>41</v>
      </c>
      <c r="B122" t="s">
        <v>1046</v>
      </c>
      <c r="C122">
        <v>40</v>
      </c>
      <c r="D122">
        <v>1995</v>
      </c>
      <c r="E122">
        <v>41.692779999999999</v>
      </c>
      <c r="F122">
        <v>45.273029999999999</v>
      </c>
      <c r="G122">
        <v>70</v>
      </c>
      <c r="H122">
        <v>4900</v>
      </c>
      <c r="I122">
        <v>3574000</v>
      </c>
      <c r="J122">
        <v>161.8058</v>
      </c>
      <c r="K122">
        <v>4</v>
      </c>
      <c r="L122">
        <v>6</v>
      </c>
      <c r="M122">
        <v>10</v>
      </c>
      <c r="N122">
        <v>-0.43</v>
      </c>
      <c r="O122">
        <v>-0.14000000000000001</v>
      </c>
      <c r="P122">
        <v>175.61590000000001</v>
      </c>
      <c r="Q122">
        <v>1003</v>
      </c>
      <c r="R122">
        <v>1006009</v>
      </c>
      <c r="S122">
        <v>3.5739999999999998</v>
      </c>
      <c r="T122">
        <v>12.773479999999999</v>
      </c>
      <c r="U122">
        <v>1.0858719999999999</v>
      </c>
      <c r="V122">
        <v>1</v>
      </c>
      <c r="W122">
        <v>0</v>
      </c>
      <c r="X122">
        <v>0</v>
      </c>
    </row>
    <row r="123" spans="1:24">
      <c r="A123">
        <v>41</v>
      </c>
      <c r="B123" t="s">
        <v>1046</v>
      </c>
      <c r="C123">
        <v>41</v>
      </c>
      <c r="D123">
        <v>2000</v>
      </c>
      <c r="E123">
        <v>42.958260000000003</v>
      </c>
      <c r="F123">
        <v>42.958260000000003</v>
      </c>
      <c r="G123">
        <v>53</v>
      </c>
      <c r="H123">
        <v>2809</v>
      </c>
      <c r="I123">
        <v>4097000</v>
      </c>
      <c r="J123">
        <v>176</v>
      </c>
      <c r="K123">
        <v>5</v>
      </c>
      <c r="L123">
        <v>7</v>
      </c>
      <c r="M123">
        <v>12</v>
      </c>
      <c r="N123">
        <v>-0.28000000000000003</v>
      </c>
      <c r="O123">
        <v>-0.4</v>
      </c>
      <c r="P123">
        <v>154.6447</v>
      </c>
      <c r="Q123">
        <v>923</v>
      </c>
      <c r="R123">
        <v>851929</v>
      </c>
      <c r="S123">
        <v>4.0970000000000004</v>
      </c>
      <c r="T123">
        <v>16.785409999999999</v>
      </c>
      <c r="U123">
        <v>1</v>
      </c>
      <c r="V123">
        <v>0</v>
      </c>
      <c r="W123">
        <v>1</v>
      </c>
      <c r="X123">
        <v>0</v>
      </c>
    </row>
    <row r="124" spans="1:24">
      <c r="A124">
        <v>41</v>
      </c>
      <c r="B124" t="s">
        <v>1046</v>
      </c>
      <c r="C124">
        <v>41</v>
      </c>
      <c r="D124">
        <v>2003</v>
      </c>
      <c r="E124">
        <v>69.998859999999993</v>
      </c>
      <c r="F124">
        <v>66.12724</v>
      </c>
      <c r="G124">
        <v>45</v>
      </c>
      <c r="H124">
        <v>2025</v>
      </c>
      <c r="I124">
        <v>4389500</v>
      </c>
      <c r="J124">
        <v>290.29860000000002</v>
      </c>
      <c r="K124">
        <v>6</v>
      </c>
      <c r="L124">
        <v>7</v>
      </c>
      <c r="M124">
        <v>13</v>
      </c>
      <c r="N124">
        <v>-0.78</v>
      </c>
      <c r="O124">
        <v>-1.18</v>
      </c>
      <c r="P124">
        <v>161.53870000000001</v>
      </c>
      <c r="Q124">
        <v>984</v>
      </c>
      <c r="R124">
        <v>968256</v>
      </c>
      <c r="S124">
        <v>4.3899999999999997</v>
      </c>
      <c r="T124">
        <v>19.272099999999998</v>
      </c>
      <c r="U124">
        <v>0.94469000000000003</v>
      </c>
      <c r="V124">
        <v>0</v>
      </c>
      <c r="W124">
        <v>0</v>
      </c>
      <c r="X124">
        <v>1</v>
      </c>
    </row>
    <row r="125" spans="1:24">
      <c r="A125">
        <v>42</v>
      </c>
      <c r="B125" t="s">
        <v>1047</v>
      </c>
      <c r="C125">
        <v>41</v>
      </c>
      <c r="D125">
        <v>1995</v>
      </c>
      <c r="E125">
        <v>40.494079999999997</v>
      </c>
      <c r="F125">
        <v>43.971400000000003</v>
      </c>
      <c r="G125">
        <v>15</v>
      </c>
      <c r="H125">
        <v>225</v>
      </c>
      <c r="I125">
        <v>1437000</v>
      </c>
      <c r="J125">
        <v>63.186900000000001</v>
      </c>
      <c r="K125">
        <v>2</v>
      </c>
      <c r="L125">
        <v>2</v>
      </c>
      <c r="M125">
        <v>4</v>
      </c>
      <c r="N125">
        <v>0.61</v>
      </c>
      <c r="O125">
        <v>1.41</v>
      </c>
      <c r="P125">
        <v>3248.3760000000002</v>
      </c>
      <c r="Q125">
        <v>6847</v>
      </c>
      <c r="R125">
        <v>46881409</v>
      </c>
      <c r="S125">
        <v>1.4370000000000001</v>
      </c>
      <c r="T125">
        <v>2.0649690000000001</v>
      </c>
      <c r="U125">
        <v>1.0858719999999999</v>
      </c>
      <c r="V125">
        <v>1</v>
      </c>
      <c r="W125">
        <v>0</v>
      </c>
      <c r="X125">
        <v>0</v>
      </c>
    </row>
    <row r="126" spans="1:24">
      <c r="A126">
        <v>42</v>
      </c>
      <c r="B126" t="s">
        <v>1047</v>
      </c>
      <c r="C126">
        <v>42</v>
      </c>
      <c r="D126">
        <v>2000</v>
      </c>
      <c r="E126">
        <v>46.608249999999998</v>
      </c>
      <c r="F126">
        <v>46.608249999999998</v>
      </c>
      <c r="G126">
        <v>8</v>
      </c>
      <c r="H126">
        <v>64</v>
      </c>
      <c r="I126">
        <v>1369500</v>
      </c>
      <c r="J126">
        <v>63.853299999999997</v>
      </c>
      <c r="K126">
        <v>2</v>
      </c>
      <c r="L126">
        <v>1</v>
      </c>
      <c r="M126">
        <v>3</v>
      </c>
      <c r="N126">
        <v>1</v>
      </c>
      <c r="O126">
        <v>1.33</v>
      </c>
      <c r="P126">
        <v>3986.8919999999998</v>
      </c>
      <c r="Q126">
        <v>9779</v>
      </c>
      <c r="R126">
        <v>95628841</v>
      </c>
      <c r="S126">
        <v>1.37</v>
      </c>
      <c r="T126">
        <v>1.8769</v>
      </c>
      <c r="U126">
        <v>1</v>
      </c>
      <c r="V126">
        <v>0</v>
      </c>
      <c r="W126">
        <v>1</v>
      </c>
      <c r="X126">
        <v>0</v>
      </c>
    </row>
    <row r="127" spans="1:24">
      <c r="A127">
        <v>42</v>
      </c>
      <c r="B127" t="s">
        <v>1047</v>
      </c>
      <c r="C127">
        <v>42</v>
      </c>
      <c r="D127">
        <v>2003</v>
      </c>
      <c r="E127">
        <v>62.468589999999999</v>
      </c>
      <c r="F127">
        <v>59.013469999999998</v>
      </c>
      <c r="G127">
        <v>8</v>
      </c>
      <c r="H127">
        <v>64</v>
      </c>
      <c r="I127">
        <v>1353000</v>
      </c>
      <c r="J127">
        <v>79.845230000000001</v>
      </c>
      <c r="K127">
        <v>2</v>
      </c>
      <c r="L127">
        <v>1</v>
      </c>
      <c r="M127">
        <v>3</v>
      </c>
      <c r="N127">
        <v>0.92</v>
      </c>
      <c r="O127">
        <v>1.51</v>
      </c>
      <c r="P127">
        <v>6341.2740000000003</v>
      </c>
      <c r="Q127">
        <v>12198</v>
      </c>
      <c r="R127" s="87">
        <v>149000000</v>
      </c>
      <c r="S127">
        <v>1.353</v>
      </c>
      <c r="T127">
        <v>1.8306089999999999</v>
      </c>
      <c r="U127">
        <v>0.94469000000000003</v>
      </c>
      <c r="V127">
        <v>0</v>
      </c>
      <c r="W127">
        <v>0</v>
      </c>
      <c r="X127">
        <v>1</v>
      </c>
    </row>
    <row r="128" spans="1:24">
      <c r="A128">
        <v>43</v>
      </c>
      <c r="B128" t="s">
        <v>1048</v>
      </c>
      <c r="C128">
        <v>42</v>
      </c>
      <c r="D128">
        <v>1995</v>
      </c>
      <c r="E128">
        <v>15.624090000000001</v>
      </c>
      <c r="F128">
        <v>16.96576</v>
      </c>
      <c r="G128">
        <v>123</v>
      </c>
      <c r="H128">
        <v>15129</v>
      </c>
      <c r="I128">
        <v>56530000</v>
      </c>
      <c r="J128">
        <v>959.07470000000001</v>
      </c>
      <c r="K128">
        <v>5</v>
      </c>
      <c r="L128">
        <v>4</v>
      </c>
      <c r="M128">
        <v>9</v>
      </c>
      <c r="N128">
        <v>-0.41</v>
      </c>
      <c r="O128">
        <v>-0.72</v>
      </c>
      <c r="P128">
        <v>111.02589999999999</v>
      </c>
      <c r="Q128">
        <v>601</v>
      </c>
      <c r="R128">
        <v>361201</v>
      </c>
      <c r="S128">
        <v>56.53</v>
      </c>
      <c r="T128">
        <v>3195.6410000000001</v>
      </c>
      <c r="U128">
        <v>1.0858719999999999</v>
      </c>
      <c r="V128">
        <v>1</v>
      </c>
      <c r="W128">
        <v>0</v>
      </c>
      <c r="X128">
        <v>0</v>
      </c>
    </row>
    <row r="129" spans="1:24">
      <c r="A129">
        <v>43</v>
      </c>
      <c r="B129" t="s">
        <v>1048</v>
      </c>
      <c r="C129">
        <v>43</v>
      </c>
      <c r="D129">
        <v>2000</v>
      </c>
      <c r="E129">
        <v>10.777469999999999</v>
      </c>
      <c r="F129">
        <v>10.777469999999999</v>
      </c>
      <c r="G129">
        <v>116</v>
      </c>
      <c r="H129">
        <v>13456</v>
      </c>
      <c r="I129">
        <v>64298000</v>
      </c>
      <c r="J129">
        <v>692.96979999999996</v>
      </c>
      <c r="K129">
        <v>5</v>
      </c>
      <c r="L129">
        <v>5</v>
      </c>
      <c r="M129">
        <v>10</v>
      </c>
      <c r="N129">
        <v>-0.6</v>
      </c>
      <c r="O129">
        <v>-0.62</v>
      </c>
      <c r="P129">
        <v>101.5248</v>
      </c>
      <c r="Q129">
        <v>676</v>
      </c>
      <c r="R129">
        <v>456976</v>
      </c>
      <c r="S129">
        <v>64.298000000000002</v>
      </c>
      <c r="T129">
        <v>4134.2330000000002</v>
      </c>
      <c r="U129">
        <v>1</v>
      </c>
      <c r="V129">
        <v>0</v>
      </c>
      <c r="W129">
        <v>1</v>
      </c>
      <c r="X129">
        <v>0</v>
      </c>
    </row>
    <row r="130" spans="1:24">
      <c r="A130">
        <v>43</v>
      </c>
      <c r="B130" t="s">
        <v>1048</v>
      </c>
      <c r="C130">
        <v>43</v>
      </c>
      <c r="D130">
        <v>2003</v>
      </c>
      <c r="E130">
        <v>21.926310000000001</v>
      </c>
      <c r="F130">
        <v>20.713570000000001</v>
      </c>
      <c r="G130">
        <v>112</v>
      </c>
      <c r="H130">
        <v>12544</v>
      </c>
      <c r="I130">
        <v>68613470</v>
      </c>
      <c r="J130">
        <v>1421.22</v>
      </c>
      <c r="K130">
        <v>5</v>
      </c>
      <c r="L130">
        <v>5</v>
      </c>
      <c r="M130">
        <v>10</v>
      </c>
      <c r="N130">
        <v>-0.87</v>
      </c>
      <c r="O130">
        <v>-1.0900000000000001</v>
      </c>
      <c r="P130">
        <v>91.58296</v>
      </c>
      <c r="Q130">
        <v>676</v>
      </c>
      <c r="R130">
        <v>456976</v>
      </c>
      <c r="S130">
        <v>68.613</v>
      </c>
      <c r="T130">
        <v>4707.7439999999997</v>
      </c>
      <c r="U130">
        <v>0.94469000000000003</v>
      </c>
      <c r="V130">
        <v>0</v>
      </c>
      <c r="W130">
        <v>0</v>
      </c>
      <c r="X130">
        <v>1</v>
      </c>
    </row>
    <row r="131" spans="1:24">
      <c r="A131">
        <v>44</v>
      </c>
      <c r="B131" t="s">
        <v>1049</v>
      </c>
      <c r="C131">
        <v>43</v>
      </c>
      <c r="D131">
        <v>1995</v>
      </c>
      <c r="E131">
        <v>58.246749999999999</v>
      </c>
      <c r="F131">
        <v>63.248530000000002</v>
      </c>
      <c r="G131">
        <v>21</v>
      </c>
      <c r="H131">
        <v>441</v>
      </c>
      <c r="I131">
        <v>770000</v>
      </c>
      <c r="J131">
        <v>48.701369999999997</v>
      </c>
      <c r="K131">
        <v>3</v>
      </c>
      <c r="L131">
        <v>4</v>
      </c>
      <c r="M131">
        <v>7</v>
      </c>
      <c r="N131">
        <v>-0.04</v>
      </c>
      <c r="O131">
        <v>-0.51</v>
      </c>
      <c r="P131">
        <v>2807.2109999999998</v>
      </c>
      <c r="Q131">
        <v>4841</v>
      </c>
      <c r="R131">
        <v>23435281</v>
      </c>
      <c r="S131">
        <v>0.77</v>
      </c>
      <c r="T131">
        <v>0.59289999999999998</v>
      </c>
      <c r="U131">
        <v>1.0858719999999999</v>
      </c>
      <c r="V131">
        <v>1</v>
      </c>
      <c r="W131">
        <v>0</v>
      </c>
      <c r="X131">
        <v>0</v>
      </c>
    </row>
    <row r="132" spans="1:24">
      <c r="A132">
        <v>44</v>
      </c>
      <c r="B132" t="s">
        <v>1049</v>
      </c>
      <c r="C132">
        <v>44</v>
      </c>
      <c r="D132">
        <v>2000</v>
      </c>
      <c r="E132">
        <v>35.866489999999999</v>
      </c>
      <c r="F132">
        <v>35.866489999999999</v>
      </c>
      <c r="G132">
        <v>18</v>
      </c>
      <c r="H132">
        <v>324</v>
      </c>
      <c r="I132">
        <v>811900</v>
      </c>
      <c r="J132">
        <v>29.12359</v>
      </c>
      <c r="K132">
        <v>3</v>
      </c>
      <c r="L132">
        <v>6</v>
      </c>
      <c r="M132">
        <v>9</v>
      </c>
      <c r="N132">
        <v>-0.34</v>
      </c>
      <c r="O132">
        <v>-0.81</v>
      </c>
      <c r="P132">
        <v>2035.6890000000001</v>
      </c>
      <c r="Q132">
        <v>5056</v>
      </c>
      <c r="R132">
        <v>25563136</v>
      </c>
      <c r="S132">
        <v>0.81200000000000006</v>
      </c>
      <c r="T132">
        <v>0.65934400000000004</v>
      </c>
      <c r="U132">
        <v>1</v>
      </c>
      <c r="V132">
        <v>0</v>
      </c>
      <c r="W132">
        <v>1</v>
      </c>
      <c r="X132">
        <v>0</v>
      </c>
    </row>
    <row r="133" spans="1:24">
      <c r="A133">
        <v>44</v>
      </c>
      <c r="B133" t="s">
        <v>1049</v>
      </c>
      <c r="C133">
        <v>44</v>
      </c>
      <c r="D133">
        <v>2003</v>
      </c>
      <c r="E133">
        <v>61.221559999999997</v>
      </c>
      <c r="F133">
        <v>57.835410000000003</v>
      </c>
      <c r="G133">
        <v>16</v>
      </c>
      <c r="H133">
        <v>256</v>
      </c>
      <c r="I133">
        <v>835000</v>
      </c>
      <c r="J133">
        <v>48.292569999999998</v>
      </c>
      <c r="K133">
        <v>3</v>
      </c>
      <c r="L133">
        <v>4</v>
      </c>
      <c r="M133">
        <v>7</v>
      </c>
      <c r="N133">
        <v>-0.22</v>
      </c>
      <c r="O133">
        <v>-0.22</v>
      </c>
      <c r="P133">
        <v>2537.1880000000001</v>
      </c>
      <c r="Q133">
        <v>5446</v>
      </c>
      <c r="R133">
        <v>29658916</v>
      </c>
      <c r="S133">
        <v>0.83499999999999996</v>
      </c>
      <c r="T133">
        <v>0.69722499999999998</v>
      </c>
      <c r="U133">
        <v>0.94469000000000003</v>
      </c>
      <c r="V133">
        <v>0</v>
      </c>
      <c r="W133">
        <v>0</v>
      </c>
      <c r="X133">
        <v>1</v>
      </c>
    </row>
    <row r="134" spans="1:24">
      <c r="A134">
        <v>45</v>
      </c>
      <c r="B134" t="s">
        <v>1050</v>
      </c>
      <c r="C134">
        <v>44</v>
      </c>
      <c r="D134">
        <v>1995</v>
      </c>
      <c r="E134">
        <v>129.81970000000001</v>
      </c>
      <c r="F134">
        <v>140.9676</v>
      </c>
      <c r="G134">
        <v>60</v>
      </c>
      <c r="H134">
        <v>3600</v>
      </c>
      <c r="I134">
        <v>1109000</v>
      </c>
      <c r="J134">
        <v>156.3331</v>
      </c>
      <c r="K134">
        <v>4</v>
      </c>
      <c r="L134">
        <v>5</v>
      </c>
      <c r="M134">
        <v>9</v>
      </c>
      <c r="N134">
        <v>-0.99</v>
      </c>
      <c r="O134">
        <v>-0.51</v>
      </c>
      <c r="P134">
        <v>4854.2380000000003</v>
      </c>
      <c r="Q134">
        <v>6431</v>
      </c>
      <c r="R134">
        <v>41357761</v>
      </c>
      <c r="S134">
        <v>1.109</v>
      </c>
      <c r="T134">
        <v>1.229881</v>
      </c>
      <c r="U134">
        <v>1.0858719999999999</v>
      </c>
      <c r="V134">
        <v>1</v>
      </c>
      <c r="W134">
        <v>0</v>
      </c>
      <c r="X134">
        <v>0</v>
      </c>
    </row>
    <row r="135" spans="1:24">
      <c r="A135">
        <v>45</v>
      </c>
      <c r="B135" t="s">
        <v>1050</v>
      </c>
      <c r="C135">
        <v>45</v>
      </c>
      <c r="D135">
        <v>2000</v>
      </c>
      <c r="E135">
        <v>9.3481710000000007</v>
      </c>
      <c r="F135">
        <v>9.3481710000000007</v>
      </c>
      <c r="G135">
        <v>60</v>
      </c>
      <c r="H135">
        <v>3600</v>
      </c>
      <c r="I135">
        <v>1258000</v>
      </c>
      <c r="J135">
        <v>11.76</v>
      </c>
      <c r="K135">
        <v>4</v>
      </c>
      <c r="L135">
        <v>5</v>
      </c>
      <c r="M135">
        <v>9</v>
      </c>
      <c r="N135">
        <v>-0.59</v>
      </c>
      <c r="O135">
        <v>-0.28999999999999998</v>
      </c>
      <c r="P135">
        <v>3920.335</v>
      </c>
      <c r="Q135">
        <v>6127</v>
      </c>
      <c r="R135">
        <v>37540129</v>
      </c>
      <c r="S135">
        <v>1.258</v>
      </c>
      <c r="T135">
        <v>1.5825640000000001</v>
      </c>
      <c r="U135">
        <v>1</v>
      </c>
      <c r="V135">
        <v>0</v>
      </c>
      <c r="W135">
        <v>1</v>
      </c>
      <c r="X135">
        <v>0</v>
      </c>
    </row>
    <row r="136" spans="1:24">
      <c r="A136">
        <v>46</v>
      </c>
      <c r="B136" t="s">
        <v>1051</v>
      </c>
      <c r="C136">
        <v>45</v>
      </c>
      <c r="D136">
        <v>1995</v>
      </c>
      <c r="E136">
        <v>41.856499999999997</v>
      </c>
      <c r="F136">
        <v>45.450809999999997</v>
      </c>
      <c r="G136">
        <v>96</v>
      </c>
      <c r="H136">
        <v>9216</v>
      </c>
      <c r="I136">
        <v>1115000</v>
      </c>
      <c r="J136">
        <v>50.67765</v>
      </c>
      <c r="K136">
        <v>6</v>
      </c>
      <c r="L136">
        <v>7</v>
      </c>
      <c r="M136">
        <v>13</v>
      </c>
      <c r="N136">
        <v>-0.1</v>
      </c>
      <c r="O136">
        <v>-1.28</v>
      </c>
      <c r="P136">
        <v>371.96749999999997</v>
      </c>
      <c r="Q136">
        <v>1573</v>
      </c>
      <c r="R136">
        <v>2474329</v>
      </c>
      <c r="S136">
        <v>1.115</v>
      </c>
      <c r="T136">
        <v>1.243225</v>
      </c>
      <c r="U136">
        <v>1.0858719999999999</v>
      </c>
      <c r="V136">
        <v>1</v>
      </c>
      <c r="W136">
        <v>0</v>
      </c>
      <c r="X136">
        <v>0</v>
      </c>
    </row>
    <row r="137" spans="1:24">
      <c r="A137">
        <v>46</v>
      </c>
      <c r="B137" t="s">
        <v>1051</v>
      </c>
      <c r="C137">
        <v>45</v>
      </c>
      <c r="D137">
        <v>2000</v>
      </c>
      <c r="E137">
        <v>37.408540000000002</v>
      </c>
      <c r="F137">
        <v>37.408540000000002</v>
      </c>
      <c r="G137">
        <v>92</v>
      </c>
      <c r="H137">
        <v>8464</v>
      </c>
      <c r="I137">
        <v>1312000</v>
      </c>
      <c r="J137">
        <v>49.08</v>
      </c>
      <c r="K137">
        <v>5</v>
      </c>
      <c r="L137">
        <v>7</v>
      </c>
      <c r="M137">
        <v>12</v>
      </c>
      <c r="N137">
        <v>0.17</v>
      </c>
      <c r="O137">
        <v>-0.01</v>
      </c>
      <c r="P137">
        <v>320.80380000000002</v>
      </c>
      <c r="Q137">
        <v>1729</v>
      </c>
      <c r="R137">
        <v>2989441</v>
      </c>
      <c r="S137">
        <v>1.3120000000000001</v>
      </c>
      <c r="T137">
        <v>1.721344</v>
      </c>
      <c r="U137">
        <v>1</v>
      </c>
      <c r="V137">
        <v>0</v>
      </c>
      <c r="W137">
        <v>1</v>
      </c>
      <c r="X137">
        <v>0</v>
      </c>
    </row>
    <row r="138" spans="1:24">
      <c r="A138">
        <v>46</v>
      </c>
      <c r="B138" t="s">
        <v>1051</v>
      </c>
      <c r="C138">
        <v>46</v>
      </c>
      <c r="D138">
        <v>2003</v>
      </c>
      <c r="E138">
        <v>42.05097</v>
      </c>
      <c r="F138">
        <v>39.725140000000003</v>
      </c>
      <c r="G138">
        <v>90</v>
      </c>
      <c r="H138">
        <v>8100</v>
      </c>
      <c r="I138">
        <v>1420895</v>
      </c>
      <c r="J138">
        <v>56.44943</v>
      </c>
      <c r="K138">
        <v>4</v>
      </c>
      <c r="L138">
        <v>4</v>
      </c>
      <c r="M138">
        <v>8</v>
      </c>
      <c r="N138">
        <v>-0.66</v>
      </c>
      <c r="O138">
        <v>-0.35</v>
      </c>
      <c r="P138">
        <v>243.62950000000001</v>
      </c>
      <c r="Q138">
        <v>1752</v>
      </c>
      <c r="R138">
        <v>3069504</v>
      </c>
      <c r="S138">
        <v>1.421</v>
      </c>
      <c r="T138">
        <v>2.0192410000000001</v>
      </c>
      <c r="U138">
        <v>0.94469000000000003</v>
      </c>
      <c r="V138">
        <v>0</v>
      </c>
      <c r="W138">
        <v>0</v>
      </c>
      <c r="X138">
        <v>1</v>
      </c>
    </row>
    <row r="139" spans="1:24">
      <c r="A139">
        <v>47</v>
      </c>
      <c r="B139" t="s">
        <v>582</v>
      </c>
      <c r="C139">
        <v>46</v>
      </c>
      <c r="D139">
        <v>1995</v>
      </c>
      <c r="E139">
        <v>41.60342</v>
      </c>
      <c r="F139">
        <v>45.176000000000002</v>
      </c>
      <c r="G139">
        <v>41</v>
      </c>
      <c r="H139">
        <v>1681</v>
      </c>
      <c r="I139">
        <v>5033000</v>
      </c>
      <c r="J139">
        <v>227.3708</v>
      </c>
      <c r="K139">
        <v>5</v>
      </c>
      <c r="L139">
        <v>4</v>
      </c>
      <c r="M139">
        <v>9</v>
      </c>
      <c r="N139">
        <v>-0.35</v>
      </c>
      <c r="O139">
        <v>-0.84</v>
      </c>
      <c r="P139">
        <v>581.17399999999998</v>
      </c>
      <c r="Q139">
        <v>1443</v>
      </c>
      <c r="R139">
        <v>2082249</v>
      </c>
      <c r="S139">
        <v>5.0330000000000004</v>
      </c>
      <c r="T139">
        <v>25.33109</v>
      </c>
      <c r="U139">
        <v>1.0858719999999999</v>
      </c>
      <c r="V139">
        <v>1</v>
      </c>
      <c r="W139">
        <v>0</v>
      </c>
      <c r="X139">
        <v>0</v>
      </c>
    </row>
    <row r="140" spans="1:24">
      <c r="A140">
        <v>47</v>
      </c>
      <c r="B140" t="s">
        <v>582</v>
      </c>
      <c r="C140">
        <v>46</v>
      </c>
      <c r="D140">
        <v>2000</v>
      </c>
      <c r="E140">
        <v>35.883479999999999</v>
      </c>
      <c r="F140">
        <v>35.883479999999999</v>
      </c>
      <c r="G140">
        <v>41</v>
      </c>
      <c r="H140">
        <v>1681</v>
      </c>
      <c r="I140">
        <v>4720000</v>
      </c>
      <c r="J140">
        <v>169.37</v>
      </c>
      <c r="K140">
        <v>4</v>
      </c>
      <c r="L140">
        <v>4</v>
      </c>
      <c r="M140">
        <v>8</v>
      </c>
      <c r="N140">
        <v>-0.72</v>
      </c>
      <c r="O140">
        <v>-0.56000000000000005</v>
      </c>
      <c r="P140">
        <v>644.80150000000003</v>
      </c>
      <c r="Q140">
        <v>1990</v>
      </c>
      <c r="R140">
        <v>3960100</v>
      </c>
      <c r="S140">
        <v>4.72</v>
      </c>
      <c r="T140">
        <v>22.278400000000001</v>
      </c>
      <c r="U140">
        <v>1</v>
      </c>
      <c r="V140">
        <v>0</v>
      </c>
      <c r="W140">
        <v>1</v>
      </c>
      <c r="X140">
        <v>0</v>
      </c>
    </row>
    <row r="141" spans="1:24">
      <c r="A141">
        <v>47</v>
      </c>
      <c r="B141" t="s">
        <v>582</v>
      </c>
      <c r="C141">
        <v>47</v>
      </c>
      <c r="D141">
        <v>2003</v>
      </c>
      <c r="E141">
        <v>48.119529999999997</v>
      </c>
      <c r="F141">
        <v>45.45805</v>
      </c>
      <c r="G141">
        <v>41</v>
      </c>
      <c r="H141">
        <v>1681</v>
      </c>
      <c r="I141">
        <v>4568000</v>
      </c>
      <c r="J141">
        <v>207.6524</v>
      </c>
      <c r="K141">
        <v>4</v>
      </c>
      <c r="L141">
        <v>4</v>
      </c>
      <c r="M141">
        <v>8</v>
      </c>
      <c r="N141">
        <v>-0.78</v>
      </c>
      <c r="O141">
        <v>-0.72</v>
      </c>
      <c r="P141">
        <v>826.44730000000004</v>
      </c>
      <c r="Q141">
        <v>2519</v>
      </c>
      <c r="R141">
        <v>6345361</v>
      </c>
      <c r="S141">
        <v>4.5679999999999996</v>
      </c>
      <c r="T141">
        <v>20.866620000000001</v>
      </c>
      <c r="U141">
        <v>0.94469000000000003</v>
      </c>
      <c r="V141">
        <v>0</v>
      </c>
      <c r="W141">
        <v>0</v>
      </c>
      <c r="X141">
        <v>1</v>
      </c>
    </row>
    <row r="142" spans="1:24">
      <c r="A142">
        <v>48</v>
      </c>
      <c r="B142" t="s">
        <v>1052</v>
      </c>
      <c r="C142">
        <v>47</v>
      </c>
      <c r="D142">
        <v>1995</v>
      </c>
      <c r="E142">
        <v>37.16733</v>
      </c>
      <c r="F142">
        <v>40.358969999999999</v>
      </c>
      <c r="G142">
        <v>69</v>
      </c>
      <c r="H142">
        <v>4761</v>
      </c>
      <c r="I142">
        <v>17510000</v>
      </c>
      <c r="J142">
        <v>706.68560000000002</v>
      </c>
      <c r="K142">
        <v>4</v>
      </c>
      <c r="L142">
        <v>4</v>
      </c>
      <c r="M142">
        <v>8</v>
      </c>
      <c r="N142">
        <v>-7.0000000000000007E-2</v>
      </c>
      <c r="O142">
        <v>-0.14000000000000001</v>
      </c>
      <c r="P142">
        <v>400.45440000000002</v>
      </c>
      <c r="Q142">
        <v>1736</v>
      </c>
      <c r="R142">
        <v>3013696</v>
      </c>
      <c r="S142">
        <v>17.510000000000002</v>
      </c>
      <c r="T142">
        <v>306.6001</v>
      </c>
      <c r="U142">
        <v>1.0858719999999999</v>
      </c>
      <c r="V142">
        <v>1</v>
      </c>
      <c r="W142">
        <v>0</v>
      </c>
      <c r="X142">
        <v>0</v>
      </c>
    </row>
    <row r="143" spans="1:24">
      <c r="A143">
        <v>48</v>
      </c>
      <c r="B143" t="s">
        <v>1052</v>
      </c>
      <c r="C143">
        <v>47</v>
      </c>
      <c r="D143">
        <v>2000</v>
      </c>
      <c r="E143">
        <v>30.645130000000002</v>
      </c>
      <c r="F143">
        <v>30.645130000000002</v>
      </c>
      <c r="G143">
        <v>62</v>
      </c>
      <c r="H143">
        <v>3844</v>
      </c>
      <c r="I143">
        <v>19593000</v>
      </c>
      <c r="J143">
        <v>600.42999999999995</v>
      </c>
      <c r="K143">
        <v>3</v>
      </c>
      <c r="L143">
        <v>2</v>
      </c>
      <c r="M143">
        <v>5</v>
      </c>
      <c r="N143">
        <v>0.09</v>
      </c>
      <c r="O143">
        <v>0.11</v>
      </c>
      <c r="P143">
        <v>254.04920000000001</v>
      </c>
      <c r="Q143">
        <v>1934</v>
      </c>
      <c r="R143">
        <v>3740356</v>
      </c>
      <c r="S143">
        <v>19.593</v>
      </c>
      <c r="T143">
        <v>383.88560000000001</v>
      </c>
      <c r="U143">
        <v>1</v>
      </c>
      <c r="V143">
        <v>0</v>
      </c>
      <c r="W143">
        <v>1</v>
      </c>
      <c r="X143">
        <v>0</v>
      </c>
    </row>
    <row r="144" spans="1:24">
      <c r="A144">
        <v>48</v>
      </c>
      <c r="B144" t="s">
        <v>1052</v>
      </c>
      <c r="C144">
        <v>48</v>
      </c>
      <c r="D144">
        <v>2003</v>
      </c>
      <c r="E144">
        <v>43.866109999999999</v>
      </c>
      <c r="F144">
        <v>41.439889999999998</v>
      </c>
      <c r="G144">
        <v>59</v>
      </c>
      <c r="H144">
        <v>3481</v>
      </c>
      <c r="I144">
        <v>20669260</v>
      </c>
      <c r="J144">
        <v>856.52110000000005</v>
      </c>
      <c r="K144">
        <v>2</v>
      </c>
      <c r="L144">
        <v>2</v>
      </c>
      <c r="M144">
        <v>4</v>
      </c>
      <c r="N144">
        <v>-0.08</v>
      </c>
      <c r="O144">
        <v>-0.25</v>
      </c>
      <c r="P144">
        <v>348.46469999999999</v>
      </c>
      <c r="Q144">
        <v>2084</v>
      </c>
      <c r="R144">
        <v>4343056</v>
      </c>
      <c r="S144">
        <v>20.669</v>
      </c>
      <c r="T144">
        <v>427.20760000000001</v>
      </c>
      <c r="U144">
        <v>0.94469000000000003</v>
      </c>
      <c r="V144">
        <v>0</v>
      </c>
      <c r="W144">
        <v>0</v>
      </c>
      <c r="X144">
        <v>1</v>
      </c>
    </row>
    <row r="145" spans="1:24">
      <c r="A145">
        <v>49</v>
      </c>
      <c r="B145" t="s">
        <v>1053</v>
      </c>
      <c r="C145">
        <v>48</v>
      </c>
      <c r="D145">
        <v>1995</v>
      </c>
      <c r="E145">
        <v>110.71429999999999</v>
      </c>
      <c r="F145">
        <v>120.2216</v>
      </c>
      <c r="G145">
        <v>26</v>
      </c>
      <c r="H145">
        <v>676</v>
      </c>
      <c r="I145">
        <v>98000</v>
      </c>
      <c r="J145">
        <v>11.78171</v>
      </c>
      <c r="K145">
        <v>2</v>
      </c>
      <c r="L145">
        <v>1</v>
      </c>
      <c r="M145">
        <v>3</v>
      </c>
      <c r="N145">
        <v>-0.48</v>
      </c>
      <c r="O145">
        <v>-0.14000000000000001</v>
      </c>
      <c r="P145">
        <v>3061.4540000000002</v>
      </c>
      <c r="Q145">
        <v>5497</v>
      </c>
      <c r="R145">
        <v>30217009</v>
      </c>
      <c r="S145">
        <v>9.8000000000000004E-2</v>
      </c>
      <c r="T145">
        <v>9.6039999999999997E-3</v>
      </c>
      <c r="U145">
        <v>1.0858719999999999</v>
      </c>
      <c r="V145">
        <v>1</v>
      </c>
      <c r="W145">
        <v>0</v>
      </c>
      <c r="X145">
        <v>0</v>
      </c>
    </row>
    <row r="146" spans="1:24">
      <c r="A146">
        <v>49</v>
      </c>
      <c r="B146" t="s">
        <v>1053</v>
      </c>
      <c r="C146">
        <v>48</v>
      </c>
      <c r="D146">
        <v>2000</v>
      </c>
      <c r="E146">
        <v>162.82050000000001</v>
      </c>
      <c r="F146">
        <v>162.82050000000001</v>
      </c>
      <c r="G146">
        <v>21</v>
      </c>
      <c r="H146">
        <v>441</v>
      </c>
      <c r="I146">
        <v>101400</v>
      </c>
      <c r="J146">
        <v>16.444870000000002</v>
      </c>
      <c r="K146">
        <v>2</v>
      </c>
      <c r="L146">
        <v>1</v>
      </c>
      <c r="M146">
        <v>3</v>
      </c>
      <c r="N146">
        <v>0.03</v>
      </c>
      <c r="O146">
        <v>0.28000000000000003</v>
      </c>
      <c r="P146">
        <v>4047.337</v>
      </c>
      <c r="Q146">
        <v>7536</v>
      </c>
      <c r="R146">
        <v>56791296</v>
      </c>
      <c r="S146">
        <v>0.10100000000000001</v>
      </c>
      <c r="T146">
        <v>1.0201E-2</v>
      </c>
      <c r="U146">
        <v>1</v>
      </c>
      <c r="V146">
        <v>0</v>
      </c>
      <c r="W146">
        <v>1</v>
      </c>
      <c r="X146">
        <v>0</v>
      </c>
    </row>
    <row r="147" spans="1:24">
      <c r="A147">
        <v>49</v>
      </c>
      <c r="B147" t="s">
        <v>1053</v>
      </c>
      <c r="C147">
        <v>49</v>
      </c>
      <c r="D147">
        <v>2003</v>
      </c>
      <c r="E147">
        <v>111.9503</v>
      </c>
      <c r="F147">
        <v>105.75839999999999</v>
      </c>
      <c r="G147">
        <v>18</v>
      </c>
      <c r="H147">
        <v>324</v>
      </c>
      <c r="I147">
        <v>104600</v>
      </c>
      <c r="J147">
        <v>11.10463</v>
      </c>
      <c r="K147">
        <v>2</v>
      </c>
      <c r="L147">
        <v>1</v>
      </c>
      <c r="M147">
        <v>3</v>
      </c>
      <c r="N147">
        <v>0.23</v>
      </c>
      <c r="O147">
        <v>0.39</v>
      </c>
      <c r="P147">
        <v>3950.3589999999999</v>
      </c>
      <c r="Q147">
        <v>7575</v>
      </c>
      <c r="R147">
        <v>57380625</v>
      </c>
      <c r="S147">
        <v>0.105</v>
      </c>
      <c r="T147">
        <v>1.1025E-2</v>
      </c>
      <c r="U147">
        <v>0.94469000000000003</v>
      </c>
      <c r="V147">
        <v>0</v>
      </c>
      <c r="W147">
        <v>0</v>
      </c>
      <c r="X147">
        <v>1</v>
      </c>
    </row>
    <row r="148" spans="1:24">
      <c r="A148">
        <v>50</v>
      </c>
      <c r="B148" t="s">
        <v>161</v>
      </c>
      <c r="C148">
        <v>49</v>
      </c>
      <c r="D148">
        <v>1995</v>
      </c>
      <c r="E148">
        <v>21.033480000000001</v>
      </c>
      <c r="F148">
        <v>22.839670000000002</v>
      </c>
      <c r="G148">
        <v>49</v>
      </c>
      <c r="H148">
        <v>2401</v>
      </c>
      <c r="I148">
        <v>9976000</v>
      </c>
      <c r="J148">
        <v>227.8486</v>
      </c>
      <c r="K148">
        <v>5</v>
      </c>
      <c r="L148">
        <v>4</v>
      </c>
      <c r="M148">
        <v>9</v>
      </c>
      <c r="N148">
        <v>-0.56000000000000005</v>
      </c>
      <c r="O148">
        <v>0.03</v>
      </c>
      <c r="P148">
        <v>1595.3</v>
      </c>
      <c r="Q148">
        <v>3687</v>
      </c>
      <c r="R148">
        <v>13593969</v>
      </c>
      <c r="S148">
        <v>9.9760000000000009</v>
      </c>
      <c r="T148">
        <v>99.520579999999995</v>
      </c>
      <c r="U148">
        <v>1.0858719999999999</v>
      </c>
      <c r="V148">
        <v>1</v>
      </c>
      <c r="W148">
        <v>0</v>
      </c>
      <c r="X148">
        <v>0</v>
      </c>
    </row>
    <row r="149" spans="1:24">
      <c r="A149">
        <v>50</v>
      </c>
      <c r="B149" t="s">
        <v>161</v>
      </c>
      <c r="C149">
        <v>49</v>
      </c>
      <c r="D149">
        <v>2000</v>
      </c>
      <c r="E149">
        <v>23.156179999999999</v>
      </c>
      <c r="F149">
        <v>23.156179999999999</v>
      </c>
      <c r="G149">
        <v>39</v>
      </c>
      <c r="H149">
        <v>1521</v>
      </c>
      <c r="I149">
        <v>11385300</v>
      </c>
      <c r="J149">
        <v>263.63310000000001</v>
      </c>
      <c r="K149">
        <v>4</v>
      </c>
      <c r="L149">
        <v>3</v>
      </c>
      <c r="M149">
        <v>7</v>
      </c>
      <c r="N149">
        <v>-0.5</v>
      </c>
      <c r="O149">
        <v>0.46</v>
      </c>
      <c r="P149">
        <v>1694.34</v>
      </c>
      <c r="Q149">
        <v>3918</v>
      </c>
      <c r="R149">
        <v>15350724</v>
      </c>
      <c r="S149">
        <v>11.385</v>
      </c>
      <c r="T149">
        <v>129.6182</v>
      </c>
      <c r="U149">
        <v>1</v>
      </c>
      <c r="V149">
        <v>0</v>
      </c>
      <c r="W149">
        <v>1</v>
      </c>
      <c r="X149">
        <v>0</v>
      </c>
    </row>
    <row r="150" spans="1:24">
      <c r="A150">
        <v>50</v>
      </c>
      <c r="B150" t="s">
        <v>161</v>
      </c>
      <c r="C150">
        <v>50</v>
      </c>
      <c r="D150">
        <v>2003</v>
      </c>
      <c r="E150">
        <v>20.07217</v>
      </c>
      <c r="F150">
        <v>18.961980000000001</v>
      </c>
      <c r="G150">
        <v>35</v>
      </c>
      <c r="H150">
        <v>1225</v>
      </c>
      <c r="I150">
        <v>12307090</v>
      </c>
      <c r="J150">
        <v>233.36510000000001</v>
      </c>
      <c r="K150">
        <v>4</v>
      </c>
      <c r="L150">
        <v>4</v>
      </c>
      <c r="M150">
        <v>8</v>
      </c>
      <c r="N150">
        <v>-0.72</v>
      </c>
      <c r="O150">
        <v>-7.0000000000000007E-2</v>
      </c>
      <c r="P150">
        <v>1898.26</v>
      </c>
      <c r="Q150">
        <v>3882</v>
      </c>
      <c r="R150">
        <v>15069924</v>
      </c>
      <c r="S150">
        <v>12.307</v>
      </c>
      <c r="T150">
        <v>151.4622</v>
      </c>
      <c r="U150">
        <v>0.94469000000000003</v>
      </c>
      <c r="V150">
        <v>0</v>
      </c>
      <c r="W150">
        <v>0</v>
      </c>
      <c r="X150">
        <v>1</v>
      </c>
    </row>
    <row r="151" spans="1:24">
      <c r="A151">
        <v>51</v>
      </c>
      <c r="B151" t="s">
        <v>1054</v>
      </c>
      <c r="C151">
        <v>50</v>
      </c>
      <c r="D151">
        <v>1995</v>
      </c>
      <c r="E151">
        <v>63.248370000000001</v>
      </c>
      <c r="F151">
        <v>68.679649999999995</v>
      </c>
      <c r="G151">
        <v>129</v>
      </c>
      <c r="H151">
        <v>16641</v>
      </c>
      <c r="I151">
        <v>6591000</v>
      </c>
      <c r="J151">
        <v>452.66759999999999</v>
      </c>
      <c r="K151">
        <v>5</v>
      </c>
      <c r="L151">
        <v>6</v>
      </c>
      <c r="M151">
        <v>11</v>
      </c>
      <c r="N151">
        <v>-1.21</v>
      </c>
      <c r="O151">
        <v>0.01</v>
      </c>
      <c r="P151">
        <v>608.28499999999997</v>
      </c>
      <c r="Q151">
        <v>1796</v>
      </c>
      <c r="R151">
        <v>3225616</v>
      </c>
      <c r="S151">
        <v>6.5910000000000002</v>
      </c>
      <c r="T151">
        <v>43.441279999999999</v>
      </c>
      <c r="U151">
        <v>1.0858719999999999</v>
      </c>
      <c r="V151">
        <v>1</v>
      </c>
      <c r="W151">
        <v>0</v>
      </c>
      <c r="X151">
        <v>0</v>
      </c>
    </row>
    <row r="152" spans="1:24">
      <c r="A152">
        <v>51</v>
      </c>
      <c r="B152" t="s">
        <v>1054</v>
      </c>
      <c r="C152">
        <v>50</v>
      </c>
      <c r="D152">
        <v>2000</v>
      </c>
      <c r="E152">
        <v>20.6325</v>
      </c>
      <c r="F152">
        <v>20.6325</v>
      </c>
      <c r="G152">
        <v>112</v>
      </c>
      <c r="H152">
        <v>12544</v>
      </c>
      <c r="I152">
        <v>7415000</v>
      </c>
      <c r="J152">
        <v>152.99</v>
      </c>
      <c r="K152">
        <v>5</v>
      </c>
      <c r="L152">
        <v>6</v>
      </c>
      <c r="M152">
        <v>11</v>
      </c>
      <c r="N152">
        <v>-7.0000000000000007E-2</v>
      </c>
      <c r="O152">
        <v>-0.09</v>
      </c>
      <c r="P152">
        <v>419.73860000000002</v>
      </c>
      <c r="Q152">
        <v>1962</v>
      </c>
      <c r="R152">
        <v>3849444</v>
      </c>
      <c r="S152">
        <v>7.415</v>
      </c>
      <c r="T152">
        <v>54.982230000000001</v>
      </c>
      <c r="U152">
        <v>1</v>
      </c>
      <c r="V152">
        <v>0</v>
      </c>
      <c r="W152">
        <v>1</v>
      </c>
      <c r="X152">
        <v>0</v>
      </c>
    </row>
    <row r="153" spans="1:24">
      <c r="A153">
        <v>51</v>
      </c>
      <c r="B153" t="s">
        <v>1054</v>
      </c>
      <c r="C153">
        <v>51</v>
      </c>
      <c r="D153">
        <v>2003</v>
      </c>
      <c r="E153">
        <v>30.031970000000001</v>
      </c>
      <c r="F153">
        <v>28.370909999999999</v>
      </c>
      <c r="G153">
        <v>104</v>
      </c>
      <c r="H153">
        <v>10816</v>
      </c>
      <c r="I153">
        <v>7908905</v>
      </c>
      <c r="J153">
        <v>224.38550000000001</v>
      </c>
      <c r="K153">
        <v>5</v>
      </c>
      <c r="L153">
        <v>6</v>
      </c>
      <c r="M153">
        <v>11</v>
      </c>
      <c r="N153">
        <v>-0.84</v>
      </c>
      <c r="O153">
        <v>-0.84</v>
      </c>
      <c r="P153">
        <v>433.6413</v>
      </c>
      <c r="Q153">
        <v>1981</v>
      </c>
      <c r="R153">
        <v>3924361</v>
      </c>
      <c r="S153">
        <v>7.9089999999999998</v>
      </c>
      <c r="T153">
        <v>62.552280000000003</v>
      </c>
      <c r="U153">
        <v>0.94469000000000003</v>
      </c>
      <c r="V153">
        <v>0</v>
      </c>
      <c r="W153">
        <v>0</v>
      </c>
      <c r="X153">
        <v>1</v>
      </c>
    </row>
    <row r="154" spans="1:24">
      <c r="A154">
        <v>52</v>
      </c>
      <c r="B154" t="s">
        <v>1055</v>
      </c>
      <c r="C154">
        <v>51</v>
      </c>
      <c r="D154">
        <v>1995</v>
      </c>
      <c r="E154">
        <v>99.588229999999996</v>
      </c>
      <c r="F154">
        <v>108.1401</v>
      </c>
      <c r="G154">
        <v>143</v>
      </c>
      <c r="H154">
        <v>20449</v>
      </c>
      <c r="I154">
        <v>1190000</v>
      </c>
      <c r="J154">
        <v>128.6867</v>
      </c>
      <c r="K154">
        <v>4</v>
      </c>
      <c r="L154">
        <v>3</v>
      </c>
      <c r="M154">
        <v>7</v>
      </c>
      <c r="N154">
        <v>-0.87</v>
      </c>
      <c r="O154">
        <v>-0.06</v>
      </c>
      <c r="P154">
        <v>231.73840000000001</v>
      </c>
      <c r="Q154">
        <v>921</v>
      </c>
      <c r="R154">
        <v>848241</v>
      </c>
      <c r="S154">
        <v>1.19</v>
      </c>
      <c r="T154">
        <v>1.4160999999999999</v>
      </c>
      <c r="U154">
        <v>1.0858719999999999</v>
      </c>
      <c r="V154">
        <v>1</v>
      </c>
      <c r="W154">
        <v>0</v>
      </c>
      <c r="X154">
        <v>0</v>
      </c>
    </row>
    <row r="155" spans="1:24">
      <c r="A155">
        <v>52</v>
      </c>
      <c r="B155" t="s">
        <v>1055</v>
      </c>
      <c r="C155">
        <v>51</v>
      </c>
      <c r="D155">
        <v>2000</v>
      </c>
      <c r="E155">
        <v>58.829560000000001</v>
      </c>
      <c r="F155">
        <v>58.829560000000001</v>
      </c>
      <c r="G155">
        <v>132</v>
      </c>
      <c r="H155">
        <v>17424</v>
      </c>
      <c r="I155">
        <v>1367000</v>
      </c>
      <c r="J155">
        <v>80.420010000000005</v>
      </c>
      <c r="K155">
        <v>5</v>
      </c>
      <c r="L155">
        <v>4</v>
      </c>
      <c r="M155">
        <v>9</v>
      </c>
      <c r="N155">
        <v>-1.43</v>
      </c>
      <c r="O155">
        <v>-1.0900000000000001</v>
      </c>
      <c r="P155">
        <v>157.61189999999999</v>
      </c>
      <c r="Q155">
        <v>783</v>
      </c>
      <c r="R155">
        <v>613089</v>
      </c>
      <c r="S155">
        <v>1.367</v>
      </c>
      <c r="T155">
        <v>1.868689</v>
      </c>
      <c r="U155">
        <v>1</v>
      </c>
      <c r="V155">
        <v>0</v>
      </c>
      <c r="W155">
        <v>1</v>
      </c>
      <c r="X155">
        <v>0</v>
      </c>
    </row>
    <row r="156" spans="1:24">
      <c r="A156">
        <v>52</v>
      </c>
      <c r="B156" t="s">
        <v>1055</v>
      </c>
      <c r="C156">
        <v>52</v>
      </c>
      <c r="D156">
        <v>2003</v>
      </c>
      <c r="E156">
        <v>97.501450000000006</v>
      </c>
      <c r="F156">
        <v>92.108670000000004</v>
      </c>
      <c r="G156">
        <v>126</v>
      </c>
      <c r="H156">
        <v>15876</v>
      </c>
      <c r="I156">
        <v>1489209</v>
      </c>
      <c r="J156">
        <v>137.1498</v>
      </c>
      <c r="K156">
        <v>4</v>
      </c>
      <c r="L156">
        <v>6</v>
      </c>
      <c r="M156">
        <v>10</v>
      </c>
      <c r="N156">
        <v>-1.32</v>
      </c>
      <c r="O156">
        <v>-0.9</v>
      </c>
      <c r="P156">
        <v>151.38560000000001</v>
      </c>
      <c r="Q156">
        <v>662</v>
      </c>
      <c r="R156">
        <v>438244</v>
      </c>
      <c r="S156">
        <v>1.4890000000000001</v>
      </c>
      <c r="T156">
        <v>2.2171210000000001</v>
      </c>
      <c r="U156">
        <v>0.94469000000000003</v>
      </c>
      <c r="V156">
        <v>0</v>
      </c>
      <c r="W156">
        <v>0</v>
      </c>
      <c r="X156">
        <v>1</v>
      </c>
    </row>
    <row r="157" spans="1:24">
      <c r="A157">
        <v>53</v>
      </c>
      <c r="B157" t="s">
        <v>1056</v>
      </c>
      <c r="C157">
        <v>52</v>
      </c>
      <c r="D157">
        <v>1995</v>
      </c>
      <c r="E157">
        <v>115.78740000000001</v>
      </c>
      <c r="F157">
        <v>125.7303</v>
      </c>
      <c r="G157">
        <v>61</v>
      </c>
      <c r="H157">
        <v>3721</v>
      </c>
      <c r="I157">
        <v>743000</v>
      </c>
      <c r="J157">
        <v>93.417630000000003</v>
      </c>
      <c r="K157">
        <v>2</v>
      </c>
      <c r="L157">
        <v>2</v>
      </c>
      <c r="M157">
        <v>4</v>
      </c>
      <c r="N157">
        <v>-0.28000000000000003</v>
      </c>
      <c r="O157">
        <v>0.22</v>
      </c>
      <c r="P157">
        <v>908.48889999999994</v>
      </c>
      <c r="Q157">
        <v>3628</v>
      </c>
      <c r="R157">
        <v>13162384</v>
      </c>
      <c r="S157">
        <v>0.74299999999999999</v>
      </c>
      <c r="T157">
        <v>0.55204900000000001</v>
      </c>
      <c r="U157">
        <v>1.0858719999999999</v>
      </c>
      <c r="V157">
        <v>1</v>
      </c>
      <c r="W157">
        <v>0</v>
      </c>
      <c r="X157">
        <v>0</v>
      </c>
    </row>
    <row r="158" spans="1:24">
      <c r="A158">
        <v>53</v>
      </c>
      <c r="B158" t="s">
        <v>1056</v>
      </c>
      <c r="C158">
        <v>52</v>
      </c>
      <c r="D158">
        <v>2000</v>
      </c>
      <c r="E158">
        <v>141.3175</v>
      </c>
      <c r="F158">
        <v>141.3175</v>
      </c>
      <c r="G158">
        <v>55</v>
      </c>
      <c r="H158">
        <v>3025</v>
      </c>
      <c r="I158">
        <v>759000</v>
      </c>
      <c r="J158">
        <v>107.26</v>
      </c>
      <c r="K158">
        <v>2</v>
      </c>
      <c r="L158">
        <v>2</v>
      </c>
      <c r="M158">
        <v>4</v>
      </c>
      <c r="N158">
        <v>-0.16</v>
      </c>
      <c r="O158">
        <v>-0.04</v>
      </c>
      <c r="P158">
        <v>938.50959999999998</v>
      </c>
      <c r="Q158">
        <v>3999</v>
      </c>
      <c r="R158">
        <v>15992001</v>
      </c>
      <c r="S158">
        <v>0.75900000000000001</v>
      </c>
      <c r="T158">
        <v>0.57608099999999995</v>
      </c>
      <c r="U158">
        <v>1</v>
      </c>
      <c r="V158">
        <v>0</v>
      </c>
      <c r="W158">
        <v>1</v>
      </c>
      <c r="X158">
        <v>0</v>
      </c>
    </row>
    <row r="159" spans="1:24">
      <c r="A159">
        <v>53</v>
      </c>
      <c r="B159" t="s">
        <v>1056</v>
      </c>
      <c r="C159">
        <v>53</v>
      </c>
      <c r="D159">
        <v>2003</v>
      </c>
      <c r="E159">
        <v>112.6562</v>
      </c>
      <c r="F159">
        <v>106.4252</v>
      </c>
      <c r="G159">
        <v>52</v>
      </c>
      <c r="H159">
        <v>2704</v>
      </c>
      <c r="I159">
        <v>768888</v>
      </c>
      <c r="J159">
        <v>81.840990000000005</v>
      </c>
      <c r="K159">
        <v>2</v>
      </c>
      <c r="L159">
        <v>2</v>
      </c>
      <c r="M159">
        <v>4</v>
      </c>
      <c r="N159">
        <v>-0.25</v>
      </c>
      <c r="O159">
        <v>-0.25</v>
      </c>
      <c r="P159">
        <v>910.952</v>
      </c>
      <c r="Q159">
        <v>4031</v>
      </c>
      <c r="R159">
        <v>16248961</v>
      </c>
      <c r="S159">
        <v>0.76900000000000002</v>
      </c>
      <c r="T159">
        <v>0.59136100000000003</v>
      </c>
      <c r="U159">
        <v>0.94469000000000003</v>
      </c>
      <c r="V159">
        <v>0</v>
      </c>
      <c r="W159">
        <v>0</v>
      </c>
      <c r="X159">
        <v>1</v>
      </c>
    </row>
    <row r="160" spans="1:24">
      <c r="A160">
        <v>54</v>
      </c>
      <c r="B160" t="s">
        <v>1057</v>
      </c>
      <c r="C160">
        <v>53</v>
      </c>
      <c r="D160">
        <v>1995</v>
      </c>
      <c r="E160">
        <v>101.2681</v>
      </c>
      <c r="F160">
        <v>109.96420000000001</v>
      </c>
      <c r="G160">
        <v>91</v>
      </c>
      <c r="H160">
        <v>8281</v>
      </c>
      <c r="I160">
        <v>7168000</v>
      </c>
      <c r="J160">
        <v>788.22349999999994</v>
      </c>
      <c r="K160">
        <v>5</v>
      </c>
      <c r="L160">
        <v>5</v>
      </c>
      <c r="M160">
        <v>10</v>
      </c>
      <c r="N160">
        <v>-1.42</v>
      </c>
      <c r="O160">
        <v>-1.23</v>
      </c>
      <c r="P160">
        <v>459.75830000000002</v>
      </c>
      <c r="Q160">
        <v>1723</v>
      </c>
      <c r="R160">
        <v>2968729</v>
      </c>
      <c r="S160">
        <v>7.1680000000000001</v>
      </c>
      <c r="T160">
        <v>51.380220000000001</v>
      </c>
      <c r="U160">
        <v>1.0858719999999999</v>
      </c>
      <c r="V160">
        <v>1</v>
      </c>
      <c r="W160">
        <v>0</v>
      </c>
      <c r="X160">
        <v>0</v>
      </c>
    </row>
    <row r="161" spans="1:24">
      <c r="A161">
        <v>54</v>
      </c>
      <c r="B161" t="s">
        <v>1057</v>
      </c>
      <c r="C161">
        <v>53</v>
      </c>
      <c r="D161">
        <v>2000</v>
      </c>
      <c r="E161">
        <v>26.1754</v>
      </c>
      <c r="F161">
        <v>26.1754</v>
      </c>
      <c r="G161">
        <v>81</v>
      </c>
      <c r="H161">
        <v>6561</v>
      </c>
      <c r="I161">
        <v>7959000</v>
      </c>
      <c r="J161">
        <v>208.33</v>
      </c>
      <c r="K161">
        <v>5</v>
      </c>
      <c r="L161">
        <v>6</v>
      </c>
      <c r="M161">
        <v>11</v>
      </c>
      <c r="N161">
        <v>-1.47</v>
      </c>
      <c r="O161">
        <v>-1.1499999999999999</v>
      </c>
      <c r="P161">
        <v>496.77010000000001</v>
      </c>
      <c r="Q161">
        <v>1764</v>
      </c>
      <c r="R161">
        <v>3111696</v>
      </c>
      <c r="S161">
        <v>7.9589999999999996</v>
      </c>
      <c r="T161">
        <v>63.345680000000002</v>
      </c>
      <c r="U161">
        <v>1</v>
      </c>
      <c r="V161">
        <v>0</v>
      </c>
      <c r="W161">
        <v>1</v>
      </c>
      <c r="X161">
        <v>0</v>
      </c>
    </row>
    <row r="162" spans="1:24">
      <c r="A162">
        <v>54</v>
      </c>
      <c r="B162" t="s">
        <v>1057</v>
      </c>
      <c r="C162">
        <v>54</v>
      </c>
      <c r="D162">
        <v>2003</v>
      </c>
      <c r="E162">
        <v>23.669989999999999</v>
      </c>
      <c r="F162">
        <v>22.360810000000001</v>
      </c>
      <c r="G162">
        <v>76</v>
      </c>
      <c r="H162">
        <v>5776</v>
      </c>
      <c r="I162">
        <v>8439799</v>
      </c>
      <c r="J162">
        <v>188.7252</v>
      </c>
      <c r="K162">
        <v>6</v>
      </c>
      <c r="L162">
        <v>6</v>
      </c>
      <c r="M162">
        <v>12</v>
      </c>
      <c r="N162">
        <v>-1.73</v>
      </c>
      <c r="O162">
        <v>-1.02</v>
      </c>
      <c r="P162">
        <v>326.75529999999998</v>
      </c>
      <c r="Q162">
        <v>1653</v>
      </c>
      <c r="R162">
        <v>2732409</v>
      </c>
      <c r="S162">
        <v>8.44</v>
      </c>
      <c r="T162">
        <v>71.233599999999996</v>
      </c>
      <c r="U162">
        <v>0.94469000000000003</v>
      </c>
      <c r="V162">
        <v>0</v>
      </c>
      <c r="W162">
        <v>0</v>
      </c>
      <c r="X162">
        <v>1</v>
      </c>
    </row>
    <row r="163" spans="1:24">
      <c r="A163">
        <v>55</v>
      </c>
      <c r="B163" t="s">
        <v>1058</v>
      </c>
      <c r="C163">
        <v>54</v>
      </c>
      <c r="D163">
        <v>1995</v>
      </c>
      <c r="E163">
        <v>71.957059999999998</v>
      </c>
      <c r="F163">
        <v>78.136170000000007</v>
      </c>
      <c r="G163">
        <v>37</v>
      </c>
      <c r="H163">
        <v>1369</v>
      </c>
      <c r="I163">
        <v>5636000</v>
      </c>
      <c r="J163">
        <v>440.37549999999999</v>
      </c>
      <c r="K163">
        <v>3</v>
      </c>
      <c r="L163">
        <v>3</v>
      </c>
      <c r="M163">
        <v>6</v>
      </c>
      <c r="N163">
        <v>-0.98</v>
      </c>
      <c r="O163">
        <v>-0.28999999999999998</v>
      </c>
      <c r="P163">
        <v>762.99980000000005</v>
      </c>
      <c r="Q163">
        <v>2572</v>
      </c>
      <c r="R163">
        <v>6615184</v>
      </c>
      <c r="S163">
        <v>5.6360000000000001</v>
      </c>
      <c r="T163">
        <v>31.764500000000002</v>
      </c>
      <c r="U163">
        <v>1.0858719999999999</v>
      </c>
      <c r="V163">
        <v>1</v>
      </c>
      <c r="W163">
        <v>0</v>
      </c>
      <c r="X163">
        <v>0</v>
      </c>
    </row>
    <row r="164" spans="1:24">
      <c r="A164">
        <v>55</v>
      </c>
      <c r="B164" t="s">
        <v>1058</v>
      </c>
      <c r="C164">
        <v>54</v>
      </c>
      <c r="D164">
        <v>2000</v>
      </c>
      <c r="E164">
        <v>69.68562</v>
      </c>
      <c r="F164">
        <v>69.68562</v>
      </c>
      <c r="G164">
        <v>33</v>
      </c>
      <c r="H164">
        <v>1089</v>
      </c>
      <c r="I164">
        <v>6457000</v>
      </c>
      <c r="J164">
        <v>449.96</v>
      </c>
      <c r="K164">
        <v>3</v>
      </c>
      <c r="L164">
        <v>3</v>
      </c>
      <c r="M164">
        <v>6</v>
      </c>
      <c r="N164">
        <v>-0.45</v>
      </c>
      <c r="O164">
        <v>0.32</v>
      </c>
      <c r="P164">
        <v>923.45640000000003</v>
      </c>
      <c r="Q164">
        <v>2500</v>
      </c>
      <c r="R164">
        <v>6250000</v>
      </c>
      <c r="S164">
        <v>6.4569999999999999</v>
      </c>
      <c r="T164">
        <v>41.69285</v>
      </c>
      <c r="U164">
        <v>1</v>
      </c>
      <c r="V164">
        <v>0</v>
      </c>
      <c r="W164">
        <v>1</v>
      </c>
      <c r="X164">
        <v>0</v>
      </c>
    </row>
    <row r="165" spans="1:24">
      <c r="A165">
        <v>55</v>
      </c>
      <c r="B165" t="s">
        <v>1058</v>
      </c>
      <c r="C165">
        <v>55</v>
      </c>
      <c r="D165">
        <v>2003</v>
      </c>
      <c r="E165">
        <v>55.828270000000003</v>
      </c>
      <c r="F165">
        <v>52.740430000000003</v>
      </c>
      <c r="G165">
        <v>32</v>
      </c>
      <c r="H165">
        <v>1024</v>
      </c>
      <c r="I165">
        <v>6968512</v>
      </c>
      <c r="J165">
        <v>367.548</v>
      </c>
      <c r="K165">
        <v>3</v>
      </c>
      <c r="L165">
        <v>3</v>
      </c>
      <c r="M165">
        <v>6</v>
      </c>
      <c r="N165">
        <v>-0.71</v>
      </c>
      <c r="O165">
        <v>-0.34</v>
      </c>
      <c r="P165">
        <v>931.06650000000002</v>
      </c>
      <c r="Q165">
        <v>2559</v>
      </c>
      <c r="R165">
        <v>6548481</v>
      </c>
      <c r="S165">
        <v>6.9690000000000003</v>
      </c>
      <c r="T165">
        <v>48.566960000000002</v>
      </c>
      <c r="U165">
        <v>0.94469000000000003</v>
      </c>
      <c r="V165">
        <v>0</v>
      </c>
      <c r="W165">
        <v>0</v>
      </c>
      <c r="X165">
        <v>1</v>
      </c>
    </row>
    <row r="166" spans="1:24">
      <c r="A166">
        <v>56</v>
      </c>
      <c r="B166" t="s">
        <v>162</v>
      </c>
      <c r="C166">
        <v>55</v>
      </c>
      <c r="D166">
        <v>2000</v>
      </c>
      <c r="E166">
        <v>25.15662</v>
      </c>
      <c r="F166">
        <v>25.15662</v>
      </c>
      <c r="G166">
        <v>9</v>
      </c>
      <c r="H166">
        <v>81</v>
      </c>
      <c r="I166">
        <v>10024000</v>
      </c>
      <c r="J166">
        <v>252.17</v>
      </c>
      <c r="K166">
        <v>2</v>
      </c>
      <c r="L166">
        <v>1</v>
      </c>
      <c r="M166">
        <v>3</v>
      </c>
      <c r="N166">
        <v>0.78</v>
      </c>
      <c r="O166">
        <v>1.1200000000000001</v>
      </c>
      <c r="P166">
        <v>4656.8829999999998</v>
      </c>
      <c r="Q166">
        <v>13344</v>
      </c>
      <c r="R166" s="87">
        <v>178000000</v>
      </c>
      <c r="S166">
        <v>10.023999999999999</v>
      </c>
      <c r="T166">
        <v>100.4806</v>
      </c>
      <c r="U166">
        <v>1</v>
      </c>
      <c r="V166">
        <v>0</v>
      </c>
      <c r="W166">
        <v>1</v>
      </c>
      <c r="X166">
        <v>0</v>
      </c>
    </row>
    <row r="167" spans="1:24">
      <c r="A167">
        <v>56</v>
      </c>
      <c r="B167" t="s">
        <v>162</v>
      </c>
      <c r="C167">
        <v>55</v>
      </c>
      <c r="D167">
        <v>2003</v>
      </c>
      <c r="E167">
        <v>24.521129999999999</v>
      </c>
      <c r="F167">
        <v>23.164870000000001</v>
      </c>
      <c r="G167">
        <v>8</v>
      </c>
      <c r="H167">
        <v>64</v>
      </c>
      <c r="I167">
        <v>10128000</v>
      </c>
      <c r="J167">
        <v>234.6138</v>
      </c>
      <c r="K167">
        <v>2</v>
      </c>
      <c r="L167">
        <v>1</v>
      </c>
      <c r="M167">
        <v>3</v>
      </c>
      <c r="N167">
        <v>0.74</v>
      </c>
      <c r="O167">
        <v>1.2</v>
      </c>
      <c r="P167">
        <v>7721.3829999999998</v>
      </c>
      <c r="Q167">
        <v>14553</v>
      </c>
      <c r="R167" s="87">
        <v>212000000</v>
      </c>
      <c r="S167">
        <v>10.128</v>
      </c>
      <c r="T167">
        <v>102.57640000000001</v>
      </c>
      <c r="U167">
        <v>0.94469000000000003</v>
      </c>
      <c r="V167">
        <v>0</v>
      </c>
      <c r="W167">
        <v>0</v>
      </c>
      <c r="X167">
        <v>1</v>
      </c>
    </row>
    <row r="168" spans="1:24">
      <c r="A168">
        <v>57</v>
      </c>
      <c r="B168" t="s">
        <v>163</v>
      </c>
      <c r="C168">
        <v>56</v>
      </c>
      <c r="D168">
        <v>1995</v>
      </c>
      <c r="E168">
        <v>1.8660239999999999</v>
      </c>
      <c r="F168">
        <v>2.0262639999999998</v>
      </c>
      <c r="G168">
        <v>74</v>
      </c>
      <c r="H168">
        <v>5476</v>
      </c>
      <c r="I168">
        <v>932180000</v>
      </c>
      <c r="J168">
        <v>1888.8420000000001</v>
      </c>
      <c r="K168">
        <v>4</v>
      </c>
      <c r="L168">
        <v>4</v>
      </c>
      <c r="M168">
        <v>8</v>
      </c>
      <c r="N168">
        <v>-0.14000000000000001</v>
      </c>
      <c r="O168">
        <v>-0.09</v>
      </c>
      <c r="P168">
        <v>413.71980000000002</v>
      </c>
      <c r="Q168">
        <v>1995</v>
      </c>
      <c r="R168">
        <v>3980025</v>
      </c>
      <c r="S168">
        <v>932.18</v>
      </c>
      <c r="T168">
        <v>868959.6</v>
      </c>
      <c r="U168">
        <v>1.0858719999999999</v>
      </c>
      <c r="V168">
        <v>1</v>
      </c>
      <c r="W168">
        <v>0</v>
      </c>
      <c r="X168">
        <v>0</v>
      </c>
    </row>
    <row r="169" spans="1:24">
      <c r="A169">
        <v>57</v>
      </c>
      <c r="B169" t="s">
        <v>163</v>
      </c>
      <c r="C169">
        <v>56</v>
      </c>
      <c r="D169">
        <v>2000</v>
      </c>
      <c r="E169">
        <v>1.461932</v>
      </c>
      <c r="F169">
        <v>1.461932</v>
      </c>
      <c r="G169">
        <v>68</v>
      </c>
      <c r="H169">
        <v>4624</v>
      </c>
      <c r="I169" s="87">
        <v>1016000000</v>
      </c>
      <c r="J169">
        <v>1485.21</v>
      </c>
      <c r="K169">
        <v>3</v>
      </c>
      <c r="L169">
        <v>2</v>
      </c>
      <c r="M169">
        <v>5</v>
      </c>
      <c r="N169">
        <v>-7.0000000000000007E-2</v>
      </c>
      <c r="O169">
        <v>-0.17</v>
      </c>
      <c r="P169">
        <v>450.20819999999998</v>
      </c>
      <c r="Q169">
        <v>2416</v>
      </c>
      <c r="R169">
        <v>5837056</v>
      </c>
      <c r="S169">
        <v>1015.923</v>
      </c>
      <c r="T169">
        <v>1032100</v>
      </c>
      <c r="U169">
        <v>1</v>
      </c>
      <c r="V169">
        <v>0</v>
      </c>
      <c r="W169">
        <v>1</v>
      </c>
      <c r="X169">
        <v>0</v>
      </c>
    </row>
    <row r="170" spans="1:24">
      <c r="A170">
        <v>57</v>
      </c>
      <c r="B170" t="s">
        <v>163</v>
      </c>
      <c r="C170">
        <v>56</v>
      </c>
      <c r="D170">
        <v>2003</v>
      </c>
      <c r="E170">
        <v>0.88523200000000002</v>
      </c>
      <c r="F170">
        <v>0.83626999999999996</v>
      </c>
      <c r="G170">
        <v>63</v>
      </c>
      <c r="H170">
        <v>3969</v>
      </c>
      <c r="I170" s="87">
        <v>1064000000</v>
      </c>
      <c r="J170">
        <v>890.12530000000004</v>
      </c>
      <c r="K170">
        <v>3</v>
      </c>
      <c r="L170">
        <v>2</v>
      </c>
      <c r="M170">
        <v>5</v>
      </c>
      <c r="N170">
        <v>-7.0000000000000007E-2</v>
      </c>
      <c r="O170">
        <v>-0.47</v>
      </c>
      <c r="P170">
        <v>533.08609999999999</v>
      </c>
      <c r="Q170">
        <v>2733</v>
      </c>
      <c r="R170">
        <v>7469289</v>
      </c>
      <c r="S170">
        <v>1064.3989999999999</v>
      </c>
      <c r="T170">
        <v>1132945</v>
      </c>
      <c r="U170">
        <v>0.94469000000000003</v>
      </c>
      <c r="V170">
        <v>0</v>
      </c>
      <c r="W170">
        <v>0</v>
      </c>
      <c r="X170">
        <v>1</v>
      </c>
    </row>
    <row r="171" spans="1:24">
      <c r="A171">
        <v>58</v>
      </c>
      <c r="B171" t="s">
        <v>164</v>
      </c>
      <c r="C171">
        <v>57</v>
      </c>
      <c r="D171">
        <v>1995</v>
      </c>
      <c r="E171">
        <v>6.7626460000000002</v>
      </c>
      <c r="F171">
        <v>7.343369</v>
      </c>
      <c r="G171">
        <v>46</v>
      </c>
      <c r="H171">
        <v>2116</v>
      </c>
      <c r="I171">
        <v>192750000</v>
      </c>
      <c r="J171">
        <v>1415.434</v>
      </c>
      <c r="K171">
        <v>6</v>
      </c>
      <c r="L171">
        <v>7</v>
      </c>
      <c r="M171">
        <v>13</v>
      </c>
      <c r="N171">
        <v>0.18</v>
      </c>
      <c r="O171">
        <v>0.27</v>
      </c>
      <c r="P171">
        <v>1138.7260000000001</v>
      </c>
      <c r="Q171">
        <v>3011</v>
      </c>
      <c r="R171">
        <v>9066121</v>
      </c>
      <c r="S171">
        <v>192.75</v>
      </c>
      <c r="T171">
        <v>37152.559999999998</v>
      </c>
      <c r="U171">
        <v>1.0858719999999999</v>
      </c>
      <c r="V171">
        <v>1</v>
      </c>
      <c r="W171">
        <v>0</v>
      </c>
      <c r="X171">
        <v>0</v>
      </c>
    </row>
    <row r="172" spans="1:24">
      <c r="A172">
        <v>58</v>
      </c>
      <c r="B172" t="s">
        <v>164</v>
      </c>
      <c r="C172">
        <v>57</v>
      </c>
      <c r="D172">
        <v>2000</v>
      </c>
      <c r="E172">
        <v>8.0371860000000002</v>
      </c>
      <c r="F172">
        <v>8.0371860000000002</v>
      </c>
      <c r="G172">
        <v>35</v>
      </c>
      <c r="H172">
        <v>1225</v>
      </c>
      <c r="I172">
        <v>206265000</v>
      </c>
      <c r="J172">
        <v>1657.79</v>
      </c>
      <c r="K172">
        <v>4</v>
      </c>
      <c r="L172">
        <v>3</v>
      </c>
      <c r="M172">
        <v>7</v>
      </c>
      <c r="N172">
        <v>-0.4</v>
      </c>
      <c r="O172">
        <v>-0.34</v>
      </c>
      <c r="P172">
        <v>800.0412</v>
      </c>
      <c r="Q172">
        <v>3028</v>
      </c>
      <c r="R172">
        <v>9168784</v>
      </c>
      <c r="S172">
        <v>206.26499999999999</v>
      </c>
      <c r="T172">
        <v>42545.25</v>
      </c>
      <c r="U172">
        <v>1</v>
      </c>
      <c r="V172">
        <v>0</v>
      </c>
      <c r="W172">
        <v>1</v>
      </c>
      <c r="X172">
        <v>0</v>
      </c>
    </row>
    <row r="173" spans="1:24">
      <c r="A173">
        <v>58</v>
      </c>
      <c r="B173" t="s">
        <v>164</v>
      </c>
      <c r="C173">
        <v>57</v>
      </c>
      <c r="D173">
        <v>2003</v>
      </c>
      <c r="E173">
        <v>8.1215639999999993</v>
      </c>
      <c r="F173">
        <v>7.6723629999999998</v>
      </c>
      <c r="G173">
        <v>31</v>
      </c>
      <c r="H173">
        <v>961</v>
      </c>
      <c r="I173">
        <v>214674200</v>
      </c>
      <c r="J173">
        <v>1647.057</v>
      </c>
      <c r="K173">
        <v>4</v>
      </c>
      <c r="L173">
        <v>3</v>
      </c>
      <c r="M173">
        <v>7</v>
      </c>
      <c r="N173">
        <v>-0.46</v>
      </c>
      <c r="O173">
        <v>-0.54</v>
      </c>
      <c r="P173">
        <v>1049.6479999999999</v>
      </c>
      <c r="Q173">
        <v>3213</v>
      </c>
      <c r="R173">
        <v>10323369</v>
      </c>
      <c r="S173">
        <v>214.67400000000001</v>
      </c>
      <c r="T173">
        <v>46084.93</v>
      </c>
      <c r="U173">
        <v>0.94469000000000003</v>
      </c>
      <c r="V173">
        <v>0</v>
      </c>
      <c r="W173">
        <v>0</v>
      </c>
      <c r="X173">
        <v>1</v>
      </c>
    </row>
    <row r="174" spans="1:24">
      <c r="A174">
        <v>59</v>
      </c>
      <c r="B174" t="s">
        <v>1059</v>
      </c>
      <c r="C174">
        <v>58</v>
      </c>
      <c r="D174">
        <v>1995</v>
      </c>
      <c r="E174">
        <v>3.245581</v>
      </c>
      <c r="F174">
        <v>3.524286</v>
      </c>
      <c r="G174">
        <v>43</v>
      </c>
      <c r="H174">
        <v>1849</v>
      </c>
      <c r="I174">
        <v>58954000</v>
      </c>
      <c r="J174">
        <v>207.77080000000001</v>
      </c>
      <c r="K174">
        <v>7</v>
      </c>
      <c r="L174">
        <v>6</v>
      </c>
      <c r="M174">
        <v>13</v>
      </c>
      <c r="N174">
        <v>-0.3</v>
      </c>
      <c r="O174">
        <v>-1.62</v>
      </c>
      <c r="P174">
        <v>1754.395</v>
      </c>
      <c r="Q174">
        <v>5295</v>
      </c>
      <c r="R174">
        <v>28037025</v>
      </c>
      <c r="S174">
        <v>58.954000000000001</v>
      </c>
      <c r="T174">
        <v>3475.5740000000001</v>
      </c>
      <c r="U174">
        <v>1.0858719999999999</v>
      </c>
      <c r="V174">
        <v>1</v>
      </c>
      <c r="W174">
        <v>0</v>
      </c>
      <c r="X174">
        <v>0</v>
      </c>
    </row>
    <row r="175" spans="1:24">
      <c r="A175">
        <v>59</v>
      </c>
      <c r="B175" t="s">
        <v>1059</v>
      </c>
      <c r="C175">
        <v>58</v>
      </c>
      <c r="D175">
        <v>2000</v>
      </c>
      <c r="E175">
        <v>2.0438550000000002</v>
      </c>
      <c r="F175">
        <v>2.0438550000000002</v>
      </c>
      <c r="G175">
        <v>36</v>
      </c>
      <c r="H175">
        <v>1296</v>
      </c>
      <c r="I175">
        <v>63664000</v>
      </c>
      <c r="J175">
        <v>130.12</v>
      </c>
      <c r="K175">
        <v>6</v>
      </c>
      <c r="L175">
        <v>6</v>
      </c>
      <c r="M175">
        <v>12</v>
      </c>
      <c r="N175">
        <v>-0.17</v>
      </c>
      <c r="O175">
        <v>-1.29</v>
      </c>
      <c r="P175">
        <v>1511.1990000000001</v>
      </c>
      <c r="Q175">
        <v>5576</v>
      </c>
      <c r="R175">
        <v>31091776</v>
      </c>
      <c r="S175">
        <v>63.664000000000001</v>
      </c>
      <c r="T175">
        <v>4053.105</v>
      </c>
      <c r="U175">
        <v>1</v>
      </c>
      <c r="V175">
        <v>0</v>
      </c>
      <c r="W175">
        <v>1</v>
      </c>
      <c r="X175">
        <v>0</v>
      </c>
    </row>
    <row r="176" spans="1:24">
      <c r="A176">
        <v>59</v>
      </c>
      <c r="B176" t="s">
        <v>1059</v>
      </c>
      <c r="C176">
        <v>58</v>
      </c>
      <c r="D176">
        <v>2003</v>
      </c>
      <c r="E176">
        <v>2.0043069999999998</v>
      </c>
      <c r="F176">
        <v>1.8934489999999999</v>
      </c>
      <c r="G176">
        <v>33</v>
      </c>
      <c r="H176">
        <v>1089</v>
      </c>
      <c r="I176">
        <v>66392020</v>
      </c>
      <c r="J176">
        <v>125.7099</v>
      </c>
      <c r="K176">
        <v>6</v>
      </c>
      <c r="L176">
        <v>6</v>
      </c>
      <c r="M176">
        <v>12</v>
      </c>
      <c r="N176">
        <v>-0.56000000000000005</v>
      </c>
      <c r="O176">
        <v>-1.28</v>
      </c>
      <c r="P176">
        <v>1951.414</v>
      </c>
      <c r="Q176">
        <v>6608</v>
      </c>
      <c r="R176">
        <v>43665664</v>
      </c>
      <c r="S176">
        <v>66.391999999999996</v>
      </c>
      <c r="T176">
        <v>4407.8980000000001</v>
      </c>
      <c r="U176">
        <v>0.94469000000000003</v>
      </c>
      <c r="V176">
        <v>0</v>
      </c>
      <c r="W176">
        <v>0</v>
      </c>
      <c r="X176">
        <v>1</v>
      </c>
    </row>
    <row r="177" spans="1:24">
      <c r="A177">
        <v>60</v>
      </c>
      <c r="B177" t="s">
        <v>789</v>
      </c>
      <c r="C177">
        <v>59</v>
      </c>
      <c r="D177">
        <v>1995</v>
      </c>
      <c r="E177">
        <v>60.551850000000002</v>
      </c>
      <c r="F177">
        <v>65.751570000000001</v>
      </c>
      <c r="G177">
        <v>7</v>
      </c>
      <c r="H177">
        <v>49</v>
      </c>
      <c r="I177">
        <v>5545000</v>
      </c>
      <c r="J177">
        <v>364.59249999999997</v>
      </c>
      <c r="K177">
        <v>3</v>
      </c>
      <c r="L177">
        <v>1</v>
      </c>
      <c r="M177">
        <v>4</v>
      </c>
      <c r="N177">
        <v>1.32</v>
      </c>
      <c r="O177">
        <v>1.24</v>
      </c>
      <c r="P177">
        <v>17540.2</v>
      </c>
      <c r="Q177">
        <v>21336</v>
      </c>
      <c r="R177" s="87">
        <v>455000000</v>
      </c>
      <c r="S177">
        <v>5.5449999999999999</v>
      </c>
      <c r="T177">
        <v>30.747029999999999</v>
      </c>
      <c r="U177">
        <v>1.0858719999999999</v>
      </c>
      <c r="V177">
        <v>1</v>
      </c>
      <c r="W177">
        <v>0</v>
      </c>
      <c r="X177">
        <v>0</v>
      </c>
    </row>
    <row r="178" spans="1:24">
      <c r="A178">
        <v>60</v>
      </c>
      <c r="B178" t="s">
        <v>789</v>
      </c>
      <c r="C178">
        <v>59</v>
      </c>
      <c r="D178">
        <v>2000</v>
      </c>
      <c r="E178">
        <v>127.2062</v>
      </c>
      <c r="F178">
        <v>127.2062</v>
      </c>
      <c r="G178">
        <v>6</v>
      </c>
      <c r="H178">
        <v>36</v>
      </c>
      <c r="I178">
        <v>6289000</v>
      </c>
      <c r="J178">
        <v>799.99980000000005</v>
      </c>
      <c r="K178">
        <v>3</v>
      </c>
      <c r="L178">
        <v>1</v>
      </c>
      <c r="M178">
        <v>4</v>
      </c>
      <c r="N178">
        <v>1.02</v>
      </c>
      <c r="O178">
        <v>0.95</v>
      </c>
      <c r="P178">
        <v>18357.78</v>
      </c>
      <c r="Q178">
        <v>23805</v>
      </c>
      <c r="R178" s="87">
        <v>567000000</v>
      </c>
      <c r="S178">
        <v>6.2889999999999997</v>
      </c>
      <c r="T178">
        <v>39.551519999999996</v>
      </c>
      <c r="U178">
        <v>1</v>
      </c>
      <c r="V178">
        <v>0</v>
      </c>
      <c r="W178">
        <v>1</v>
      </c>
      <c r="X178">
        <v>0</v>
      </c>
    </row>
    <row r="179" spans="1:24">
      <c r="A179">
        <v>60</v>
      </c>
      <c r="B179" t="s">
        <v>789</v>
      </c>
      <c r="C179">
        <v>59</v>
      </c>
      <c r="D179">
        <v>2003</v>
      </c>
      <c r="E179">
        <v>65.787980000000005</v>
      </c>
      <c r="F179">
        <v>62.149270000000001</v>
      </c>
      <c r="G179">
        <v>5</v>
      </c>
      <c r="H179">
        <v>25</v>
      </c>
      <c r="I179">
        <v>6688000</v>
      </c>
      <c r="J179">
        <v>415.65429999999998</v>
      </c>
      <c r="K179">
        <v>3</v>
      </c>
      <c r="L179">
        <v>1</v>
      </c>
      <c r="M179">
        <v>4</v>
      </c>
      <c r="N179">
        <v>1.03</v>
      </c>
      <c r="O179">
        <v>0.85</v>
      </c>
      <c r="P179">
        <v>15569.71</v>
      </c>
      <c r="Q179">
        <v>21853</v>
      </c>
      <c r="R179" s="87">
        <v>478000000</v>
      </c>
      <c r="S179">
        <v>6.6879999999999997</v>
      </c>
      <c r="T179">
        <v>44.729340000000001</v>
      </c>
      <c r="U179">
        <v>0.94469000000000003</v>
      </c>
      <c r="V179">
        <v>0</v>
      </c>
      <c r="W179">
        <v>0</v>
      </c>
      <c r="X179">
        <v>1</v>
      </c>
    </row>
    <row r="180" spans="1:24">
      <c r="A180">
        <v>61</v>
      </c>
      <c r="B180" t="s">
        <v>1060</v>
      </c>
      <c r="C180">
        <v>60</v>
      </c>
      <c r="D180">
        <v>1995</v>
      </c>
      <c r="E180">
        <v>43.729840000000003</v>
      </c>
      <c r="F180">
        <v>47.485019999999999</v>
      </c>
      <c r="G180">
        <v>17</v>
      </c>
      <c r="H180">
        <v>289</v>
      </c>
      <c r="I180">
        <v>2480000</v>
      </c>
      <c r="J180">
        <v>117.7628</v>
      </c>
      <c r="K180">
        <v>3</v>
      </c>
      <c r="L180">
        <v>2</v>
      </c>
      <c r="M180">
        <v>5</v>
      </c>
      <c r="N180">
        <v>-0.41</v>
      </c>
      <c r="O180">
        <v>0.54</v>
      </c>
      <c r="P180">
        <v>2538.0030000000002</v>
      </c>
      <c r="Q180">
        <v>3736</v>
      </c>
      <c r="R180">
        <v>13957696</v>
      </c>
      <c r="S180">
        <v>2.48</v>
      </c>
      <c r="T180">
        <v>6.1504000000000003</v>
      </c>
      <c r="U180">
        <v>1.0858719999999999</v>
      </c>
      <c r="V180">
        <v>1</v>
      </c>
      <c r="W180">
        <v>0</v>
      </c>
      <c r="X180">
        <v>0</v>
      </c>
    </row>
    <row r="181" spans="1:24">
      <c r="A181">
        <v>61</v>
      </c>
      <c r="B181" t="s">
        <v>1060</v>
      </c>
      <c r="C181">
        <v>60</v>
      </c>
      <c r="D181">
        <v>2000</v>
      </c>
      <c r="E181">
        <v>3.868217</v>
      </c>
      <c r="F181">
        <v>3.868217</v>
      </c>
      <c r="G181">
        <v>17</v>
      </c>
      <c r="H181">
        <v>289</v>
      </c>
      <c r="I181">
        <v>2580000</v>
      </c>
      <c r="J181">
        <v>9.98</v>
      </c>
      <c r="K181">
        <v>2</v>
      </c>
      <c r="L181">
        <v>2</v>
      </c>
      <c r="M181">
        <v>4</v>
      </c>
      <c r="N181">
        <v>-0.19</v>
      </c>
      <c r="O181">
        <v>0.41</v>
      </c>
      <c r="P181">
        <v>2873.6060000000002</v>
      </c>
      <c r="Q181">
        <v>3395</v>
      </c>
      <c r="R181">
        <v>11526025</v>
      </c>
      <c r="S181">
        <v>2.58</v>
      </c>
      <c r="T181">
        <v>6.6563999999999997</v>
      </c>
      <c r="U181">
        <v>1</v>
      </c>
      <c r="V181">
        <v>0</v>
      </c>
      <c r="W181">
        <v>1</v>
      </c>
      <c r="X181">
        <v>0</v>
      </c>
    </row>
    <row r="182" spans="1:24">
      <c r="A182">
        <v>61</v>
      </c>
      <c r="B182" t="s">
        <v>1060</v>
      </c>
      <c r="C182">
        <v>60</v>
      </c>
      <c r="D182">
        <v>2003</v>
      </c>
      <c r="E182">
        <v>1.3017339999999999</v>
      </c>
      <c r="F182">
        <v>1.229735</v>
      </c>
      <c r="G182">
        <v>17</v>
      </c>
      <c r="H182">
        <v>289</v>
      </c>
      <c r="I182">
        <v>2642628</v>
      </c>
      <c r="J182">
        <v>3.2501910000000001</v>
      </c>
      <c r="K182">
        <v>3</v>
      </c>
      <c r="L182">
        <v>2</v>
      </c>
      <c r="M182">
        <v>5</v>
      </c>
      <c r="N182">
        <v>0.04</v>
      </c>
      <c r="O182">
        <v>0.23</v>
      </c>
      <c r="P182">
        <v>2686.2139999999999</v>
      </c>
      <c r="Q182">
        <v>3579</v>
      </c>
      <c r="R182">
        <v>12809241</v>
      </c>
      <c r="S182">
        <v>2.6429999999999998</v>
      </c>
      <c r="T182">
        <v>6.985449</v>
      </c>
      <c r="U182">
        <v>0.94469000000000003</v>
      </c>
      <c r="V182">
        <v>0</v>
      </c>
      <c r="W182">
        <v>0</v>
      </c>
      <c r="X182">
        <v>1</v>
      </c>
    </row>
    <row r="183" spans="1:24">
      <c r="A183">
        <v>62</v>
      </c>
      <c r="B183" t="s">
        <v>1061</v>
      </c>
      <c r="C183">
        <v>61</v>
      </c>
      <c r="D183">
        <v>1995</v>
      </c>
      <c r="E183">
        <v>128.73660000000001</v>
      </c>
      <c r="F183">
        <v>139.79150000000001</v>
      </c>
      <c r="G183">
        <v>29</v>
      </c>
      <c r="H183">
        <v>841</v>
      </c>
      <c r="I183">
        <v>4195000</v>
      </c>
      <c r="J183">
        <v>586.42529999999999</v>
      </c>
      <c r="K183">
        <v>4</v>
      </c>
      <c r="L183">
        <v>4</v>
      </c>
      <c r="M183">
        <v>8</v>
      </c>
      <c r="N183">
        <v>0.18</v>
      </c>
      <c r="O183">
        <v>0.06</v>
      </c>
      <c r="P183">
        <v>1741.4570000000001</v>
      </c>
      <c r="Q183">
        <v>4056</v>
      </c>
      <c r="R183">
        <v>16451136</v>
      </c>
      <c r="S183">
        <v>4.1950000000000003</v>
      </c>
      <c r="T183">
        <v>17.598030000000001</v>
      </c>
      <c r="U183">
        <v>1.0858719999999999</v>
      </c>
      <c r="V183">
        <v>1</v>
      </c>
      <c r="W183">
        <v>0</v>
      </c>
      <c r="X183">
        <v>0</v>
      </c>
    </row>
    <row r="184" spans="1:24">
      <c r="A184">
        <v>62</v>
      </c>
      <c r="B184" t="s">
        <v>1061</v>
      </c>
      <c r="C184">
        <v>61</v>
      </c>
      <c r="D184">
        <v>2000</v>
      </c>
      <c r="E184">
        <v>113.0492</v>
      </c>
      <c r="F184">
        <v>113.0492</v>
      </c>
      <c r="G184">
        <v>25</v>
      </c>
      <c r="H184">
        <v>625</v>
      </c>
      <c r="I184">
        <v>4886810</v>
      </c>
      <c r="J184">
        <v>552.47140000000002</v>
      </c>
      <c r="K184">
        <v>4</v>
      </c>
      <c r="L184">
        <v>4</v>
      </c>
      <c r="M184">
        <v>8</v>
      </c>
      <c r="N184">
        <v>0.4</v>
      </c>
      <c r="O184">
        <v>0.68</v>
      </c>
      <c r="P184">
        <v>1728.5530000000001</v>
      </c>
      <c r="Q184">
        <v>3829</v>
      </c>
      <c r="R184">
        <v>14661241</v>
      </c>
      <c r="S184">
        <v>4.8869999999999996</v>
      </c>
      <c r="T184">
        <v>23.882770000000001</v>
      </c>
      <c r="U184">
        <v>1</v>
      </c>
      <c r="V184">
        <v>0</v>
      </c>
      <c r="W184">
        <v>1</v>
      </c>
      <c r="X184">
        <v>0</v>
      </c>
    </row>
    <row r="185" spans="1:24">
      <c r="A185">
        <v>62</v>
      </c>
      <c r="B185" t="s">
        <v>1061</v>
      </c>
      <c r="C185">
        <v>61</v>
      </c>
      <c r="D185">
        <v>2003</v>
      </c>
      <c r="E185">
        <v>232.53659999999999</v>
      </c>
      <c r="F185">
        <v>219.67509999999999</v>
      </c>
      <c r="G185">
        <v>23</v>
      </c>
      <c r="H185">
        <v>529</v>
      </c>
      <c r="I185">
        <v>5307895</v>
      </c>
      <c r="J185">
        <v>1166.0350000000001</v>
      </c>
      <c r="K185">
        <v>5</v>
      </c>
      <c r="L185">
        <v>5</v>
      </c>
      <c r="M185">
        <v>10</v>
      </c>
      <c r="N185">
        <v>0.31</v>
      </c>
      <c r="O185">
        <v>0.11</v>
      </c>
      <c r="P185">
        <v>1770.1980000000001</v>
      </c>
      <c r="Q185">
        <v>4046</v>
      </c>
      <c r="R185">
        <v>16370116</v>
      </c>
      <c r="S185">
        <v>5.3079999999999998</v>
      </c>
      <c r="T185">
        <v>28.174859999999999</v>
      </c>
      <c r="U185">
        <v>0.94469000000000003</v>
      </c>
      <c r="V185">
        <v>0</v>
      </c>
      <c r="W185">
        <v>0</v>
      </c>
      <c r="X185">
        <v>1</v>
      </c>
    </row>
    <row r="186" spans="1:24">
      <c r="A186">
        <v>63</v>
      </c>
      <c r="B186" t="s">
        <v>1062</v>
      </c>
      <c r="C186">
        <v>62</v>
      </c>
      <c r="D186">
        <v>1995</v>
      </c>
      <c r="E186">
        <v>4.0775550000000003</v>
      </c>
      <c r="F186">
        <v>4.4277040000000003</v>
      </c>
      <c r="G186">
        <v>57</v>
      </c>
      <c r="H186">
        <v>3249</v>
      </c>
      <c r="I186">
        <v>16066000</v>
      </c>
      <c r="J186">
        <v>71.135490000000004</v>
      </c>
      <c r="K186">
        <v>5</v>
      </c>
      <c r="L186">
        <v>6</v>
      </c>
      <c r="M186">
        <v>11</v>
      </c>
      <c r="N186">
        <v>-0.83</v>
      </c>
      <c r="O186">
        <v>-0.27</v>
      </c>
      <c r="P186">
        <v>1377.0630000000001</v>
      </c>
      <c r="Q186">
        <v>3603</v>
      </c>
      <c r="R186">
        <v>12981609</v>
      </c>
      <c r="S186">
        <v>16.065999999999999</v>
      </c>
      <c r="T186">
        <v>258.1164</v>
      </c>
      <c r="U186">
        <v>1.0858719999999999</v>
      </c>
      <c r="V186">
        <v>1</v>
      </c>
      <c r="W186">
        <v>0</v>
      </c>
      <c r="X186">
        <v>0</v>
      </c>
    </row>
    <row r="187" spans="1:24">
      <c r="A187">
        <v>63</v>
      </c>
      <c r="B187" t="s">
        <v>1062</v>
      </c>
      <c r="C187">
        <v>62</v>
      </c>
      <c r="D187">
        <v>2000</v>
      </c>
      <c r="E187">
        <v>12.55777</v>
      </c>
      <c r="F187">
        <v>12.55777</v>
      </c>
      <c r="G187">
        <v>63</v>
      </c>
      <c r="H187">
        <v>3969</v>
      </c>
      <c r="I187">
        <v>15059200</v>
      </c>
      <c r="J187">
        <v>189.10749999999999</v>
      </c>
      <c r="K187">
        <v>5</v>
      </c>
      <c r="L187">
        <v>6</v>
      </c>
      <c r="M187">
        <v>11</v>
      </c>
      <c r="N187">
        <v>-0.54</v>
      </c>
      <c r="O187">
        <v>-0.47</v>
      </c>
      <c r="P187">
        <v>1214.672</v>
      </c>
      <c r="Q187">
        <v>4594</v>
      </c>
      <c r="R187">
        <v>21104836</v>
      </c>
      <c r="S187">
        <v>15.058999999999999</v>
      </c>
      <c r="T187">
        <v>226.77350000000001</v>
      </c>
      <c r="U187">
        <v>1</v>
      </c>
      <c r="V187">
        <v>0</v>
      </c>
      <c r="W187">
        <v>1</v>
      </c>
      <c r="X187">
        <v>0</v>
      </c>
    </row>
    <row r="188" spans="1:24">
      <c r="A188">
        <v>63</v>
      </c>
      <c r="B188" t="s">
        <v>1062</v>
      </c>
      <c r="C188">
        <v>62</v>
      </c>
      <c r="D188">
        <v>2003</v>
      </c>
      <c r="E188">
        <v>18.03725</v>
      </c>
      <c r="F188">
        <v>17.039619999999999</v>
      </c>
      <c r="G188">
        <v>63</v>
      </c>
      <c r="H188">
        <v>3969</v>
      </c>
      <c r="I188">
        <v>14878100</v>
      </c>
      <c r="J188">
        <v>253.5154</v>
      </c>
      <c r="K188">
        <v>5</v>
      </c>
      <c r="L188">
        <v>6</v>
      </c>
      <c r="M188">
        <v>11</v>
      </c>
      <c r="N188">
        <v>-0.72</v>
      </c>
      <c r="O188">
        <v>-0.8</v>
      </c>
      <c r="P188">
        <v>1957.7940000000001</v>
      </c>
      <c r="Q188">
        <v>6294</v>
      </c>
      <c r="R188">
        <v>39614436</v>
      </c>
      <c r="S188">
        <v>14.878</v>
      </c>
      <c r="T188">
        <v>221.35489999999999</v>
      </c>
      <c r="U188">
        <v>0.94469000000000003</v>
      </c>
      <c r="V188">
        <v>0</v>
      </c>
      <c r="W188">
        <v>0</v>
      </c>
      <c r="X188">
        <v>1</v>
      </c>
    </row>
    <row r="189" spans="1:24">
      <c r="A189">
        <v>64</v>
      </c>
      <c r="B189" t="s">
        <v>1063</v>
      </c>
      <c r="C189">
        <v>63</v>
      </c>
      <c r="D189">
        <v>1995</v>
      </c>
      <c r="E189">
        <v>27.50047</v>
      </c>
      <c r="F189">
        <v>29.861999999999998</v>
      </c>
      <c r="G189">
        <v>73</v>
      </c>
      <c r="H189">
        <v>5329</v>
      </c>
      <c r="I189">
        <v>26689000</v>
      </c>
      <c r="J189">
        <v>796.98680000000002</v>
      </c>
      <c r="K189">
        <v>6</v>
      </c>
      <c r="L189">
        <v>7</v>
      </c>
      <c r="M189">
        <v>13</v>
      </c>
      <c r="N189">
        <v>-0.6</v>
      </c>
      <c r="O189">
        <v>-0.48</v>
      </c>
      <c r="P189">
        <v>368.07650000000001</v>
      </c>
      <c r="Q189">
        <v>1063</v>
      </c>
      <c r="R189">
        <v>1129969</v>
      </c>
      <c r="S189">
        <v>26.689</v>
      </c>
      <c r="T189">
        <v>712.30269999999996</v>
      </c>
      <c r="U189">
        <v>1.0858719999999999</v>
      </c>
      <c r="V189">
        <v>1</v>
      </c>
      <c r="W189">
        <v>0</v>
      </c>
      <c r="X189">
        <v>0</v>
      </c>
    </row>
    <row r="190" spans="1:24">
      <c r="A190">
        <v>64</v>
      </c>
      <c r="B190" t="s">
        <v>1063</v>
      </c>
      <c r="C190">
        <v>63</v>
      </c>
      <c r="D190">
        <v>2000</v>
      </c>
      <c r="E190">
        <v>17.01914</v>
      </c>
      <c r="F190">
        <v>17.01914</v>
      </c>
      <c r="G190">
        <v>77</v>
      </c>
      <c r="H190">
        <v>5929</v>
      </c>
      <c r="I190">
        <v>30092000</v>
      </c>
      <c r="J190">
        <v>512.14</v>
      </c>
      <c r="K190">
        <v>5</v>
      </c>
      <c r="L190">
        <v>6</v>
      </c>
      <c r="M190">
        <v>11</v>
      </c>
      <c r="N190">
        <v>-0.68</v>
      </c>
      <c r="O190">
        <v>-0.16</v>
      </c>
      <c r="P190">
        <v>347.40100000000001</v>
      </c>
      <c r="Q190">
        <v>1002</v>
      </c>
      <c r="R190">
        <v>1004004</v>
      </c>
      <c r="S190">
        <v>30.091999999999999</v>
      </c>
      <c r="T190">
        <v>905.52850000000001</v>
      </c>
      <c r="U190">
        <v>1</v>
      </c>
      <c r="V190">
        <v>0</v>
      </c>
      <c r="W190">
        <v>1</v>
      </c>
      <c r="X190">
        <v>0</v>
      </c>
    </row>
    <row r="191" spans="1:24">
      <c r="A191">
        <v>64</v>
      </c>
      <c r="B191" t="s">
        <v>1063</v>
      </c>
      <c r="C191">
        <v>63</v>
      </c>
      <c r="D191">
        <v>2003</v>
      </c>
      <c r="E191">
        <v>15.14827</v>
      </c>
      <c r="F191">
        <v>14.310420000000001</v>
      </c>
      <c r="G191">
        <v>79</v>
      </c>
      <c r="H191">
        <v>6241</v>
      </c>
      <c r="I191">
        <v>31915850</v>
      </c>
      <c r="J191">
        <v>456.73149999999998</v>
      </c>
      <c r="K191">
        <v>3</v>
      </c>
      <c r="L191">
        <v>3</v>
      </c>
      <c r="M191">
        <v>6</v>
      </c>
      <c r="N191">
        <v>-0.81</v>
      </c>
      <c r="O191">
        <v>-0.47</v>
      </c>
      <c r="P191">
        <v>425.51490000000001</v>
      </c>
      <c r="Q191">
        <v>983</v>
      </c>
      <c r="R191">
        <v>966289</v>
      </c>
      <c r="S191">
        <v>31.916</v>
      </c>
      <c r="T191">
        <v>1018.631</v>
      </c>
      <c r="U191">
        <v>0.94469000000000003</v>
      </c>
      <c r="V191">
        <v>0</v>
      </c>
      <c r="W191">
        <v>0</v>
      </c>
      <c r="X191">
        <v>1</v>
      </c>
    </row>
    <row r="192" spans="1:24">
      <c r="A192">
        <v>65</v>
      </c>
      <c r="B192" t="s">
        <v>1064</v>
      </c>
      <c r="C192">
        <v>64</v>
      </c>
      <c r="D192">
        <v>1995</v>
      </c>
      <c r="E192">
        <v>1.7702549999999999</v>
      </c>
      <c r="F192">
        <v>1.9222710000000001</v>
      </c>
      <c r="G192">
        <v>12</v>
      </c>
      <c r="H192">
        <v>144</v>
      </c>
      <c r="I192">
        <v>1802000</v>
      </c>
      <c r="J192">
        <v>3.4639319999999998</v>
      </c>
      <c r="K192">
        <v>5</v>
      </c>
      <c r="L192">
        <v>5</v>
      </c>
      <c r="M192">
        <v>10</v>
      </c>
      <c r="N192">
        <v>0.32</v>
      </c>
      <c r="O192">
        <v>0.16</v>
      </c>
      <c r="P192">
        <v>16003.85</v>
      </c>
      <c r="Q192">
        <v>18416</v>
      </c>
      <c r="R192" s="87">
        <v>339000000</v>
      </c>
      <c r="S192">
        <v>1.802</v>
      </c>
      <c r="T192">
        <v>3.247204</v>
      </c>
      <c r="U192">
        <v>1.0858719999999999</v>
      </c>
      <c r="V192">
        <v>1</v>
      </c>
      <c r="W192">
        <v>0</v>
      </c>
      <c r="X192">
        <v>0</v>
      </c>
    </row>
    <row r="193" spans="1:24">
      <c r="A193">
        <v>65</v>
      </c>
      <c r="B193" t="s">
        <v>1064</v>
      </c>
      <c r="C193">
        <v>64</v>
      </c>
      <c r="D193">
        <v>2000</v>
      </c>
      <c r="E193">
        <v>1.3013699999999999</v>
      </c>
      <c r="F193">
        <v>1.3013699999999999</v>
      </c>
      <c r="G193">
        <v>9</v>
      </c>
      <c r="H193">
        <v>81</v>
      </c>
      <c r="I193">
        <v>2190000</v>
      </c>
      <c r="J193">
        <v>2.85</v>
      </c>
      <c r="K193">
        <v>5</v>
      </c>
      <c r="L193">
        <v>4</v>
      </c>
      <c r="M193">
        <v>9</v>
      </c>
      <c r="N193">
        <v>0.21</v>
      </c>
      <c r="O193">
        <v>-0.13</v>
      </c>
      <c r="P193">
        <v>16905.77</v>
      </c>
      <c r="Q193">
        <v>15766</v>
      </c>
      <c r="R193" s="87">
        <v>249000000</v>
      </c>
      <c r="S193">
        <v>2.19</v>
      </c>
      <c r="T193">
        <v>4.7961</v>
      </c>
      <c r="U193">
        <v>1</v>
      </c>
      <c r="V193">
        <v>0</v>
      </c>
      <c r="W193">
        <v>1</v>
      </c>
      <c r="X193">
        <v>0</v>
      </c>
    </row>
    <row r="194" spans="1:24">
      <c r="A194">
        <v>65</v>
      </c>
      <c r="B194" t="s">
        <v>1064</v>
      </c>
      <c r="C194">
        <v>64</v>
      </c>
      <c r="D194">
        <v>2003</v>
      </c>
      <c r="E194">
        <v>1.8444199999999999</v>
      </c>
      <c r="F194">
        <v>1.7424059999999999</v>
      </c>
      <c r="G194">
        <v>8</v>
      </c>
      <c r="H194">
        <v>64</v>
      </c>
      <c r="I194">
        <v>2396417</v>
      </c>
      <c r="J194">
        <v>4.174804</v>
      </c>
      <c r="K194">
        <v>5</v>
      </c>
      <c r="L194">
        <v>4</v>
      </c>
      <c r="M194">
        <v>9</v>
      </c>
      <c r="N194">
        <v>0.35</v>
      </c>
      <c r="O194">
        <v>0.23</v>
      </c>
      <c r="P194">
        <v>16457.580000000002</v>
      </c>
      <c r="Q194">
        <v>17073</v>
      </c>
      <c r="R194" s="87">
        <v>291000000</v>
      </c>
      <c r="S194">
        <v>2.3959999999999999</v>
      </c>
      <c r="T194">
        <v>5.7408159999999997</v>
      </c>
      <c r="U194">
        <v>0.94469000000000003</v>
      </c>
      <c r="V194">
        <v>0</v>
      </c>
      <c r="W194">
        <v>0</v>
      </c>
      <c r="X194">
        <v>1</v>
      </c>
    </row>
    <row r="195" spans="1:24">
      <c r="A195">
        <v>66</v>
      </c>
      <c r="B195" t="s">
        <v>1065</v>
      </c>
      <c r="C195">
        <v>65</v>
      </c>
      <c r="D195">
        <v>1995</v>
      </c>
      <c r="E195">
        <v>62.03922</v>
      </c>
      <c r="F195">
        <v>67.366659999999996</v>
      </c>
      <c r="G195">
        <v>63</v>
      </c>
      <c r="H195">
        <v>3969</v>
      </c>
      <c r="I195">
        <v>4590000</v>
      </c>
      <c r="J195">
        <v>309.21300000000002</v>
      </c>
      <c r="K195">
        <v>4</v>
      </c>
      <c r="L195">
        <v>4</v>
      </c>
      <c r="M195">
        <v>8</v>
      </c>
      <c r="N195">
        <v>-0.43</v>
      </c>
      <c r="O195">
        <v>-0.16</v>
      </c>
      <c r="P195">
        <v>392.95280000000002</v>
      </c>
      <c r="Q195">
        <v>1220</v>
      </c>
      <c r="R195">
        <v>1488400</v>
      </c>
      <c r="S195">
        <v>4.59</v>
      </c>
      <c r="T195">
        <v>21.068100000000001</v>
      </c>
      <c r="U195">
        <v>1.0858719999999999</v>
      </c>
      <c r="V195">
        <v>1</v>
      </c>
      <c r="W195">
        <v>0</v>
      </c>
      <c r="X195">
        <v>0</v>
      </c>
    </row>
    <row r="196" spans="1:24">
      <c r="A196">
        <v>66</v>
      </c>
      <c r="B196" t="s">
        <v>1065</v>
      </c>
      <c r="C196">
        <v>65</v>
      </c>
      <c r="D196">
        <v>2000</v>
      </c>
      <c r="E196">
        <v>43.702950000000001</v>
      </c>
      <c r="F196">
        <v>43.702950000000001</v>
      </c>
      <c r="G196">
        <v>60</v>
      </c>
      <c r="H196">
        <v>3600</v>
      </c>
      <c r="I196">
        <v>4915000</v>
      </c>
      <c r="J196">
        <v>214.8</v>
      </c>
      <c r="K196">
        <v>5</v>
      </c>
      <c r="L196">
        <v>6</v>
      </c>
      <c r="M196">
        <v>11</v>
      </c>
      <c r="N196">
        <v>-0.63</v>
      </c>
      <c r="O196">
        <v>-0.36</v>
      </c>
      <c r="P196">
        <v>278.67590000000001</v>
      </c>
      <c r="Q196">
        <v>1560</v>
      </c>
      <c r="R196">
        <v>2433600</v>
      </c>
      <c r="S196">
        <v>4.915</v>
      </c>
      <c r="T196">
        <v>24.157229999999998</v>
      </c>
      <c r="U196">
        <v>1</v>
      </c>
      <c r="V196">
        <v>0</v>
      </c>
      <c r="W196">
        <v>1</v>
      </c>
      <c r="X196">
        <v>0</v>
      </c>
    </row>
    <row r="197" spans="1:24">
      <c r="A197">
        <v>66</v>
      </c>
      <c r="B197" t="s">
        <v>1065</v>
      </c>
      <c r="C197">
        <v>65</v>
      </c>
      <c r="D197">
        <v>2003</v>
      </c>
      <c r="E197">
        <v>39.12312</v>
      </c>
      <c r="F197">
        <v>36.959229999999998</v>
      </c>
      <c r="G197">
        <v>59</v>
      </c>
      <c r="H197">
        <v>3481</v>
      </c>
      <c r="I197">
        <v>5052000</v>
      </c>
      <c r="J197">
        <v>186.71799999999999</v>
      </c>
      <c r="K197">
        <v>5</v>
      </c>
      <c r="L197">
        <v>6</v>
      </c>
      <c r="M197">
        <v>11</v>
      </c>
      <c r="N197">
        <v>-0.77</v>
      </c>
      <c r="O197">
        <v>-0.24</v>
      </c>
      <c r="P197">
        <v>358.8426</v>
      </c>
      <c r="Q197">
        <v>1658</v>
      </c>
      <c r="R197">
        <v>2748964</v>
      </c>
      <c r="S197">
        <v>5.0519999999999996</v>
      </c>
      <c r="T197">
        <v>25.5227</v>
      </c>
      <c r="U197">
        <v>0.94469000000000003</v>
      </c>
      <c r="V197">
        <v>0</v>
      </c>
      <c r="W197">
        <v>0</v>
      </c>
      <c r="X197">
        <v>1</v>
      </c>
    </row>
    <row r="198" spans="1:24">
      <c r="A198">
        <v>67</v>
      </c>
      <c r="B198" t="s">
        <v>1066</v>
      </c>
      <c r="C198">
        <v>66</v>
      </c>
      <c r="D198">
        <v>1995</v>
      </c>
      <c r="E198">
        <v>65.853610000000003</v>
      </c>
      <c r="F198">
        <v>71.508600000000001</v>
      </c>
      <c r="G198">
        <v>105</v>
      </c>
      <c r="H198">
        <v>11025</v>
      </c>
      <c r="I198">
        <v>4686000</v>
      </c>
      <c r="J198">
        <v>335.08929999999998</v>
      </c>
      <c r="K198">
        <v>6</v>
      </c>
      <c r="L198">
        <v>7</v>
      </c>
      <c r="M198">
        <v>13</v>
      </c>
      <c r="N198">
        <v>-0.04</v>
      </c>
      <c r="O198">
        <v>-1.17</v>
      </c>
      <c r="P198">
        <v>408.65870000000001</v>
      </c>
      <c r="Q198">
        <v>1258</v>
      </c>
      <c r="R198">
        <v>1582564</v>
      </c>
      <c r="S198">
        <v>4.6859999999999999</v>
      </c>
      <c r="T198">
        <v>21.958600000000001</v>
      </c>
      <c r="U198">
        <v>1.0858719999999999</v>
      </c>
      <c r="V198">
        <v>1</v>
      </c>
      <c r="W198">
        <v>0</v>
      </c>
      <c r="X198">
        <v>0</v>
      </c>
    </row>
    <row r="199" spans="1:24">
      <c r="A199">
        <v>67</v>
      </c>
      <c r="B199" t="s">
        <v>1066</v>
      </c>
      <c r="C199">
        <v>66</v>
      </c>
      <c r="D199">
        <v>2000</v>
      </c>
      <c r="E199">
        <v>53.379429999999999</v>
      </c>
      <c r="F199">
        <v>53.379429999999999</v>
      </c>
      <c r="G199">
        <v>90</v>
      </c>
      <c r="H199">
        <v>8100</v>
      </c>
      <c r="I199">
        <v>5279000</v>
      </c>
      <c r="J199">
        <v>281.79000000000002</v>
      </c>
      <c r="K199">
        <v>6</v>
      </c>
      <c r="L199">
        <v>7</v>
      </c>
      <c r="M199">
        <v>13</v>
      </c>
      <c r="N199">
        <v>-0.76</v>
      </c>
      <c r="O199">
        <v>-1.24</v>
      </c>
      <c r="P199">
        <v>326.21159999999998</v>
      </c>
      <c r="Q199">
        <v>1570</v>
      </c>
      <c r="R199">
        <v>2464900</v>
      </c>
      <c r="S199">
        <v>5.2789999999999999</v>
      </c>
      <c r="T199">
        <v>27.867840000000001</v>
      </c>
      <c r="U199">
        <v>1</v>
      </c>
      <c r="V199">
        <v>0</v>
      </c>
      <c r="W199">
        <v>1</v>
      </c>
      <c r="X199">
        <v>0</v>
      </c>
    </row>
    <row r="200" spans="1:24">
      <c r="A200">
        <v>67</v>
      </c>
      <c r="B200" t="s">
        <v>1066</v>
      </c>
      <c r="C200">
        <v>66</v>
      </c>
      <c r="D200">
        <v>2003</v>
      </c>
      <c r="E200">
        <v>52.763030000000001</v>
      </c>
      <c r="F200">
        <v>49.844720000000002</v>
      </c>
      <c r="G200">
        <v>82</v>
      </c>
      <c r="H200">
        <v>6724</v>
      </c>
      <c r="I200">
        <v>5659834</v>
      </c>
      <c r="J200">
        <v>282.12110000000001</v>
      </c>
      <c r="K200">
        <v>6</v>
      </c>
      <c r="L200">
        <v>7</v>
      </c>
      <c r="M200">
        <v>13</v>
      </c>
      <c r="N200">
        <v>-0.76</v>
      </c>
      <c r="O200">
        <v>-1.25</v>
      </c>
      <c r="P200">
        <v>348.4282</v>
      </c>
      <c r="Q200">
        <v>1718</v>
      </c>
      <c r="R200">
        <v>2951524</v>
      </c>
      <c r="S200">
        <v>5.66</v>
      </c>
      <c r="T200">
        <v>32.035600000000002</v>
      </c>
      <c r="U200">
        <v>0.94469000000000003</v>
      </c>
      <c r="V200">
        <v>0</v>
      </c>
      <c r="W200">
        <v>0</v>
      </c>
      <c r="X200">
        <v>1</v>
      </c>
    </row>
    <row r="201" spans="1:24">
      <c r="A201">
        <v>68</v>
      </c>
      <c r="B201" t="s">
        <v>252</v>
      </c>
      <c r="C201">
        <v>67</v>
      </c>
      <c r="D201">
        <v>1995</v>
      </c>
      <c r="E201">
        <v>25.23658</v>
      </c>
      <c r="F201">
        <v>27.403700000000001</v>
      </c>
      <c r="G201">
        <v>19</v>
      </c>
      <c r="H201">
        <v>361</v>
      </c>
      <c r="I201">
        <v>2515000</v>
      </c>
      <c r="J201">
        <v>68.920310000000001</v>
      </c>
      <c r="K201">
        <v>2</v>
      </c>
      <c r="L201">
        <v>2</v>
      </c>
      <c r="M201">
        <v>4</v>
      </c>
      <c r="N201">
        <v>0.04</v>
      </c>
      <c r="O201">
        <v>0.53</v>
      </c>
      <c r="P201">
        <v>2287.4029999999998</v>
      </c>
      <c r="Q201">
        <v>5742</v>
      </c>
      <c r="R201">
        <v>32970564</v>
      </c>
      <c r="S201">
        <v>2.5150000000000001</v>
      </c>
      <c r="T201">
        <v>6.3252249999999997</v>
      </c>
      <c r="U201">
        <v>1.0858719999999999</v>
      </c>
      <c r="V201">
        <v>1</v>
      </c>
      <c r="W201">
        <v>0</v>
      </c>
      <c r="X201">
        <v>0</v>
      </c>
    </row>
    <row r="202" spans="1:24">
      <c r="A202">
        <v>68</v>
      </c>
      <c r="B202" t="s">
        <v>252</v>
      </c>
      <c r="C202">
        <v>67</v>
      </c>
      <c r="D202">
        <v>2000</v>
      </c>
      <c r="E202">
        <v>38.397979999999997</v>
      </c>
      <c r="F202">
        <v>38.397979999999997</v>
      </c>
      <c r="G202">
        <v>10</v>
      </c>
      <c r="H202">
        <v>100</v>
      </c>
      <c r="I202">
        <v>2372000</v>
      </c>
      <c r="J202">
        <v>91.080010000000001</v>
      </c>
      <c r="K202">
        <v>2</v>
      </c>
      <c r="L202">
        <v>1</v>
      </c>
      <c r="M202">
        <v>3</v>
      </c>
      <c r="N202">
        <v>0.36</v>
      </c>
      <c r="O202">
        <v>0.53</v>
      </c>
      <c r="P202">
        <v>3259.7759999999998</v>
      </c>
      <c r="Q202">
        <v>7922</v>
      </c>
      <c r="R202">
        <v>62758084</v>
      </c>
      <c r="S202">
        <v>2.3719999999999999</v>
      </c>
      <c r="T202">
        <v>5.6263839999999998</v>
      </c>
      <c r="U202">
        <v>1</v>
      </c>
      <c r="V202">
        <v>0</v>
      </c>
      <c r="W202">
        <v>1</v>
      </c>
      <c r="X202">
        <v>0</v>
      </c>
    </row>
    <row r="203" spans="1:24">
      <c r="A203">
        <v>68</v>
      </c>
      <c r="B203" t="s">
        <v>252</v>
      </c>
      <c r="C203">
        <v>67</v>
      </c>
      <c r="D203">
        <v>2003</v>
      </c>
      <c r="E203">
        <v>48.970269999999999</v>
      </c>
      <c r="F203">
        <v>46.261740000000003</v>
      </c>
      <c r="G203">
        <v>10</v>
      </c>
      <c r="H203">
        <v>100</v>
      </c>
      <c r="I203">
        <v>2321000</v>
      </c>
      <c r="J203">
        <v>107.37350000000001</v>
      </c>
      <c r="K203">
        <v>2</v>
      </c>
      <c r="L203">
        <v>1</v>
      </c>
      <c r="M203">
        <v>3</v>
      </c>
      <c r="N203">
        <v>0.65</v>
      </c>
      <c r="O203">
        <v>0.97</v>
      </c>
      <c r="P203">
        <v>4506.7749999999996</v>
      </c>
      <c r="Q203">
        <v>10047</v>
      </c>
      <c r="R203" s="87">
        <v>101000000</v>
      </c>
      <c r="S203">
        <v>2.3210000000000002</v>
      </c>
      <c r="T203">
        <v>5.387041</v>
      </c>
      <c r="U203">
        <v>0.94469000000000003</v>
      </c>
      <c r="V203">
        <v>0</v>
      </c>
      <c r="W203">
        <v>0</v>
      </c>
      <c r="X203">
        <v>1</v>
      </c>
    </row>
    <row r="204" spans="1:24">
      <c r="A204">
        <v>69</v>
      </c>
      <c r="B204" t="s">
        <v>1067</v>
      </c>
      <c r="C204">
        <v>68</v>
      </c>
      <c r="D204">
        <v>1995</v>
      </c>
      <c r="E204">
        <v>46.731589999999997</v>
      </c>
      <c r="F204">
        <v>50.744529999999997</v>
      </c>
      <c r="G204">
        <v>30</v>
      </c>
      <c r="H204">
        <v>900</v>
      </c>
      <c r="I204">
        <v>4005000</v>
      </c>
      <c r="J204">
        <v>203.2319</v>
      </c>
      <c r="K204">
        <v>5</v>
      </c>
      <c r="L204">
        <v>6</v>
      </c>
      <c r="M204">
        <v>11</v>
      </c>
      <c r="N204">
        <v>-0.18</v>
      </c>
      <c r="O204">
        <v>0.22</v>
      </c>
      <c r="P204">
        <v>3014.6280000000002</v>
      </c>
      <c r="Q204">
        <v>4102</v>
      </c>
      <c r="R204">
        <v>16826404</v>
      </c>
      <c r="S204">
        <v>4.0049999999999999</v>
      </c>
      <c r="T204">
        <v>16.040030000000002</v>
      </c>
      <c r="U204">
        <v>1.0858719999999999</v>
      </c>
      <c r="V204">
        <v>1</v>
      </c>
      <c r="W204">
        <v>0</v>
      </c>
      <c r="X204">
        <v>0</v>
      </c>
    </row>
    <row r="205" spans="1:24">
      <c r="A205">
        <v>69</v>
      </c>
      <c r="B205" t="s">
        <v>1067</v>
      </c>
      <c r="C205">
        <v>68</v>
      </c>
      <c r="D205">
        <v>2000</v>
      </c>
      <c r="E205">
        <v>46.136780000000002</v>
      </c>
      <c r="F205">
        <v>46.136780000000002</v>
      </c>
      <c r="G205">
        <v>28</v>
      </c>
      <c r="H205">
        <v>784</v>
      </c>
      <c r="I205">
        <v>4328000</v>
      </c>
      <c r="J205">
        <v>199.68</v>
      </c>
      <c r="K205">
        <v>5</v>
      </c>
      <c r="L205">
        <v>6</v>
      </c>
      <c r="M205">
        <v>11</v>
      </c>
      <c r="N205">
        <v>-0.22</v>
      </c>
      <c r="O205">
        <v>0.28999999999999998</v>
      </c>
      <c r="P205">
        <v>3833.7269999999999</v>
      </c>
      <c r="Q205">
        <v>4162</v>
      </c>
      <c r="R205">
        <v>17322244</v>
      </c>
      <c r="S205">
        <v>4.3280000000000003</v>
      </c>
      <c r="T205">
        <v>18.731580000000001</v>
      </c>
      <c r="U205">
        <v>1</v>
      </c>
      <c r="V205">
        <v>0</v>
      </c>
      <c r="W205">
        <v>1</v>
      </c>
      <c r="X205">
        <v>0</v>
      </c>
    </row>
    <row r="206" spans="1:24">
      <c r="A206">
        <v>69</v>
      </c>
      <c r="B206" t="s">
        <v>1067</v>
      </c>
      <c r="C206">
        <v>68</v>
      </c>
      <c r="D206">
        <v>2003</v>
      </c>
      <c r="E206">
        <v>50.768520000000002</v>
      </c>
      <c r="F206">
        <v>47.960529999999999</v>
      </c>
      <c r="G206">
        <v>27</v>
      </c>
      <c r="H206">
        <v>729</v>
      </c>
      <c r="I206">
        <v>4497669</v>
      </c>
      <c r="J206">
        <v>215.72649999999999</v>
      </c>
      <c r="K206">
        <v>5</v>
      </c>
      <c r="L206">
        <v>6</v>
      </c>
      <c r="M206">
        <v>11</v>
      </c>
      <c r="N206">
        <v>-0.37</v>
      </c>
      <c r="O206">
        <v>-0.49</v>
      </c>
      <c r="P206">
        <v>4178.6469999999999</v>
      </c>
      <c r="Q206">
        <v>4756</v>
      </c>
      <c r="R206">
        <v>22619536</v>
      </c>
      <c r="S206">
        <v>4.4980000000000002</v>
      </c>
      <c r="T206">
        <v>20.231999999999999</v>
      </c>
      <c r="U206">
        <v>0.94469000000000003</v>
      </c>
      <c r="V206">
        <v>0</v>
      </c>
      <c r="W206">
        <v>0</v>
      </c>
      <c r="X206">
        <v>1</v>
      </c>
    </row>
    <row r="207" spans="1:24">
      <c r="A207">
        <v>70</v>
      </c>
      <c r="B207" t="s">
        <v>1068</v>
      </c>
      <c r="C207">
        <v>69</v>
      </c>
      <c r="D207">
        <v>1995</v>
      </c>
      <c r="E207">
        <v>68.506029999999996</v>
      </c>
      <c r="F207">
        <v>74.38879</v>
      </c>
      <c r="G207">
        <v>70</v>
      </c>
      <c r="H207">
        <v>4900</v>
      </c>
      <c r="I207">
        <v>1660000</v>
      </c>
      <c r="J207">
        <v>123.4854</v>
      </c>
      <c r="K207">
        <v>4</v>
      </c>
      <c r="L207">
        <v>4</v>
      </c>
      <c r="M207">
        <v>8</v>
      </c>
      <c r="N207">
        <v>0.17</v>
      </c>
      <c r="O207">
        <v>-0.71</v>
      </c>
      <c r="P207">
        <v>610.26</v>
      </c>
      <c r="Q207">
        <v>1746</v>
      </c>
      <c r="R207">
        <v>3048516</v>
      </c>
      <c r="S207">
        <v>1.66</v>
      </c>
      <c r="T207">
        <v>2.7555999999999998</v>
      </c>
      <c r="U207">
        <v>1.0858719999999999</v>
      </c>
      <c r="V207">
        <v>1</v>
      </c>
      <c r="W207">
        <v>0</v>
      </c>
      <c r="X207">
        <v>0</v>
      </c>
    </row>
    <row r="208" spans="1:24">
      <c r="A208">
        <v>70</v>
      </c>
      <c r="B208" t="s">
        <v>1068</v>
      </c>
      <c r="C208">
        <v>69</v>
      </c>
      <c r="D208">
        <v>2000</v>
      </c>
      <c r="E208">
        <v>21.043579999999999</v>
      </c>
      <c r="F208">
        <v>21.043579999999999</v>
      </c>
      <c r="G208">
        <v>75</v>
      </c>
      <c r="H208">
        <v>5625</v>
      </c>
      <c r="I208">
        <v>1744000</v>
      </c>
      <c r="J208">
        <v>36.700000000000003</v>
      </c>
      <c r="K208">
        <v>4</v>
      </c>
      <c r="L208">
        <v>4</v>
      </c>
      <c r="M208">
        <v>8</v>
      </c>
      <c r="N208">
        <v>-0.05</v>
      </c>
      <c r="O208">
        <v>-0.38</v>
      </c>
      <c r="P208">
        <v>492.73099999999999</v>
      </c>
      <c r="Q208">
        <v>2161</v>
      </c>
      <c r="R208">
        <v>4669921</v>
      </c>
      <c r="S208">
        <v>1.744</v>
      </c>
      <c r="T208">
        <v>3.0415359999999998</v>
      </c>
      <c r="U208">
        <v>1</v>
      </c>
      <c r="V208">
        <v>0</v>
      </c>
      <c r="W208">
        <v>1</v>
      </c>
      <c r="X208">
        <v>0</v>
      </c>
    </row>
    <row r="209" spans="1:24">
      <c r="A209">
        <v>70</v>
      </c>
      <c r="B209" t="s">
        <v>1068</v>
      </c>
      <c r="C209">
        <v>69</v>
      </c>
      <c r="D209">
        <v>2003</v>
      </c>
      <c r="E209">
        <v>44.060949999999998</v>
      </c>
      <c r="F209">
        <v>41.623950000000001</v>
      </c>
      <c r="G209">
        <v>79</v>
      </c>
      <c r="H209">
        <v>6241</v>
      </c>
      <c r="I209">
        <v>1792744</v>
      </c>
      <c r="J209">
        <v>74.631749999999997</v>
      </c>
      <c r="K209">
        <v>3</v>
      </c>
      <c r="L209">
        <v>2</v>
      </c>
      <c r="M209">
        <v>5</v>
      </c>
      <c r="N209">
        <v>-0.28000000000000003</v>
      </c>
      <c r="O209">
        <v>-0.34</v>
      </c>
      <c r="P209">
        <v>567.26930000000004</v>
      </c>
      <c r="Q209">
        <v>2366</v>
      </c>
      <c r="R209">
        <v>5597956</v>
      </c>
      <c r="S209">
        <v>1.7929999999999999</v>
      </c>
      <c r="T209">
        <v>3.2148490000000001</v>
      </c>
      <c r="U209">
        <v>0.94469000000000003</v>
      </c>
      <c r="V209">
        <v>0</v>
      </c>
      <c r="W209">
        <v>0</v>
      </c>
      <c r="X209">
        <v>1</v>
      </c>
    </row>
    <row r="210" spans="1:24">
      <c r="A210">
        <v>71</v>
      </c>
      <c r="B210" t="s">
        <v>1069</v>
      </c>
      <c r="C210">
        <v>70</v>
      </c>
      <c r="D210">
        <v>1995</v>
      </c>
      <c r="E210">
        <v>49.352969999999999</v>
      </c>
      <c r="F210">
        <v>53.59102</v>
      </c>
      <c r="G210">
        <v>13</v>
      </c>
      <c r="H210">
        <v>169</v>
      </c>
      <c r="I210">
        <v>3632000</v>
      </c>
      <c r="J210">
        <v>194.64259999999999</v>
      </c>
      <c r="K210">
        <v>2</v>
      </c>
      <c r="L210">
        <v>1</v>
      </c>
      <c r="M210">
        <v>3</v>
      </c>
      <c r="N210">
        <v>0.06</v>
      </c>
      <c r="O210">
        <v>0.38</v>
      </c>
      <c r="P210">
        <v>2244.2109999999998</v>
      </c>
      <c r="Q210">
        <v>6787</v>
      </c>
      <c r="R210">
        <v>46063369</v>
      </c>
      <c r="S210">
        <v>3.6320000000000001</v>
      </c>
      <c r="T210">
        <v>13.191420000000001</v>
      </c>
      <c r="U210">
        <v>1.0858719999999999</v>
      </c>
      <c r="V210">
        <v>1</v>
      </c>
      <c r="W210">
        <v>0</v>
      </c>
      <c r="X210">
        <v>0</v>
      </c>
    </row>
    <row r="211" spans="1:24">
      <c r="A211">
        <v>71</v>
      </c>
      <c r="B211" t="s">
        <v>1069</v>
      </c>
      <c r="C211">
        <v>70</v>
      </c>
      <c r="D211">
        <v>2000</v>
      </c>
      <c r="E211">
        <v>28.268190000000001</v>
      </c>
      <c r="F211">
        <v>28.268190000000001</v>
      </c>
      <c r="G211">
        <v>9</v>
      </c>
      <c r="H211">
        <v>81</v>
      </c>
      <c r="I211">
        <v>3505000</v>
      </c>
      <c r="J211">
        <v>99.080010000000001</v>
      </c>
      <c r="K211">
        <v>2</v>
      </c>
      <c r="L211">
        <v>1</v>
      </c>
      <c r="M211">
        <v>3</v>
      </c>
      <c r="N211">
        <v>0.36</v>
      </c>
      <c r="O211">
        <v>0.52</v>
      </c>
      <c r="P211">
        <v>3247.2130000000002</v>
      </c>
      <c r="Q211">
        <v>8766</v>
      </c>
      <c r="R211">
        <v>76842756</v>
      </c>
      <c r="S211">
        <v>3.5049999999999999</v>
      </c>
      <c r="T211">
        <v>12.285030000000001</v>
      </c>
      <c r="U211">
        <v>1</v>
      </c>
      <c r="V211">
        <v>0</v>
      </c>
      <c r="W211">
        <v>1</v>
      </c>
      <c r="X211">
        <v>0</v>
      </c>
    </row>
    <row r="212" spans="1:24">
      <c r="A212">
        <v>71</v>
      </c>
      <c r="B212" t="s">
        <v>1069</v>
      </c>
      <c r="C212">
        <v>70</v>
      </c>
      <c r="D212">
        <v>2003</v>
      </c>
      <c r="E212">
        <v>107.6867</v>
      </c>
      <c r="F212">
        <v>101.7306</v>
      </c>
      <c r="G212">
        <v>8</v>
      </c>
      <c r="H212">
        <v>64</v>
      </c>
      <c r="I212">
        <v>3454000</v>
      </c>
      <c r="J212">
        <v>351.37740000000002</v>
      </c>
      <c r="K212">
        <v>2</v>
      </c>
      <c r="L212">
        <v>1</v>
      </c>
      <c r="M212">
        <v>3</v>
      </c>
      <c r="N212">
        <v>0.67</v>
      </c>
      <c r="O212">
        <v>1.1000000000000001</v>
      </c>
      <c r="P212">
        <v>5021.5129999999999</v>
      </c>
      <c r="Q212">
        <v>11190</v>
      </c>
      <c r="R212" s="87">
        <v>125000000</v>
      </c>
      <c r="S212">
        <v>3.4540000000000002</v>
      </c>
      <c r="T212">
        <v>11.930120000000001</v>
      </c>
      <c r="U212">
        <v>0.94469000000000003</v>
      </c>
      <c r="V212">
        <v>0</v>
      </c>
      <c r="W212">
        <v>0</v>
      </c>
      <c r="X212">
        <v>1</v>
      </c>
    </row>
    <row r="213" spans="1:24">
      <c r="A213">
        <v>72</v>
      </c>
      <c r="B213" t="s">
        <v>1070</v>
      </c>
      <c r="C213">
        <v>71</v>
      </c>
      <c r="D213">
        <v>1995</v>
      </c>
      <c r="E213">
        <v>40.086469999999998</v>
      </c>
      <c r="F213">
        <v>43.528779999999998</v>
      </c>
      <c r="G213">
        <v>23</v>
      </c>
      <c r="H213">
        <v>529</v>
      </c>
      <c r="I213">
        <v>1966000</v>
      </c>
      <c r="J213">
        <v>85.577590000000001</v>
      </c>
      <c r="K213">
        <v>3</v>
      </c>
      <c r="L213">
        <v>4</v>
      </c>
      <c r="M213">
        <v>7</v>
      </c>
      <c r="N213">
        <v>-0.19</v>
      </c>
      <c r="O213">
        <v>-0.16</v>
      </c>
      <c r="P213">
        <v>2457.5039999999999</v>
      </c>
      <c r="Q213">
        <v>5383</v>
      </c>
      <c r="R213">
        <v>28976689</v>
      </c>
      <c r="S213">
        <v>1.966</v>
      </c>
      <c r="T213">
        <v>3.8651559999999998</v>
      </c>
      <c r="U213">
        <v>1.0858719999999999</v>
      </c>
      <c r="V213">
        <v>1</v>
      </c>
      <c r="W213">
        <v>0</v>
      </c>
      <c r="X213">
        <v>0</v>
      </c>
    </row>
    <row r="214" spans="1:24">
      <c r="A214">
        <v>72</v>
      </c>
      <c r="B214" t="s">
        <v>1070</v>
      </c>
      <c r="C214">
        <v>71</v>
      </c>
      <c r="D214">
        <v>2000</v>
      </c>
      <c r="E214">
        <v>124.3139</v>
      </c>
      <c r="F214">
        <v>124.3139</v>
      </c>
      <c r="G214">
        <v>12</v>
      </c>
      <c r="H214">
        <v>144</v>
      </c>
      <c r="I214">
        <v>2026000</v>
      </c>
      <c r="J214">
        <v>251.86</v>
      </c>
      <c r="K214">
        <v>3</v>
      </c>
      <c r="L214">
        <v>4</v>
      </c>
      <c r="M214">
        <v>7</v>
      </c>
      <c r="N214">
        <v>-0.52</v>
      </c>
      <c r="O214">
        <v>0.13</v>
      </c>
      <c r="P214">
        <v>1770.4190000000001</v>
      </c>
      <c r="Q214">
        <v>6067</v>
      </c>
      <c r="R214">
        <v>36808489</v>
      </c>
      <c r="S214">
        <v>2.0259999999999998</v>
      </c>
      <c r="T214">
        <v>4.1046760000000004</v>
      </c>
      <c r="U214">
        <v>1</v>
      </c>
      <c r="V214">
        <v>0</v>
      </c>
      <c r="W214">
        <v>1</v>
      </c>
      <c r="X214">
        <v>0</v>
      </c>
    </row>
    <row r="215" spans="1:24">
      <c r="A215">
        <v>72</v>
      </c>
      <c r="B215" t="s">
        <v>1070</v>
      </c>
      <c r="C215">
        <v>71</v>
      </c>
      <c r="D215">
        <v>2003</v>
      </c>
      <c r="E215">
        <v>113.958</v>
      </c>
      <c r="F215">
        <v>107.655</v>
      </c>
      <c r="G215">
        <v>10</v>
      </c>
      <c r="H215">
        <v>100</v>
      </c>
      <c r="I215">
        <v>2049000</v>
      </c>
      <c r="J215">
        <v>220.58510000000001</v>
      </c>
      <c r="K215">
        <v>3</v>
      </c>
      <c r="L215">
        <v>3</v>
      </c>
      <c r="M215">
        <v>6</v>
      </c>
      <c r="N215">
        <v>-0.27</v>
      </c>
      <c r="O215">
        <v>-0.14000000000000001</v>
      </c>
      <c r="P215">
        <v>2151.4720000000002</v>
      </c>
      <c r="Q215">
        <v>5928</v>
      </c>
      <c r="R215">
        <v>35141184</v>
      </c>
      <c r="S215">
        <v>2.0489999999999999</v>
      </c>
      <c r="T215">
        <v>4.1984009999999996</v>
      </c>
      <c r="U215">
        <v>0.94469000000000003</v>
      </c>
      <c r="V215">
        <v>0</v>
      </c>
      <c r="W215">
        <v>0</v>
      </c>
      <c r="X215">
        <v>1</v>
      </c>
    </row>
    <row r="216" spans="1:24">
      <c r="A216">
        <v>73</v>
      </c>
      <c r="B216" t="s">
        <v>1071</v>
      </c>
      <c r="C216">
        <v>72</v>
      </c>
      <c r="D216">
        <v>1995</v>
      </c>
      <c r="E216">
        <v>22.645109999999999</v>
      </c>
      <c r="F216">
        <v>24.589700000000001</v>
      </c>
      <c r="G216">
        <v>95</v>
      </c>
      <c r="H216">
        <v>9025</v>
      </c>
      <c r="I216">
        <v>13300000</v>
      </c>
      <c r="J216">
        <v>327.04289999999997</v>
      </c>
      <c r="K216">
        <v>4</v>
      </c>
      <c r="L216">
        <v>2</v>
      </c>
      <c r="M216">
        <v>6</v>
      </c>
      <c r="N216">
        <v>-0.64</v>
      </c>
      <c r="O216">
        <v>-7.0000000000000007E-2</v>
      </c>
      <c r="P216">
        <v>257.98469999999998</v>
      </c>
      <c r="Q216">
        <v>821</v>
      </c>
      <c r="R216">
        <v>674041</v>
      </c>
      <c r="S216">
        <v>13.3</v>
      </c>
      <c r="T216">
        <v>176.89</v>
      </c>
      <c r="U216">
        <v>1.0858719999999999</v>
      </c>
      <c r="V216">
        <v>1</v>
      </c>
      <c r="W216">
        <v>0</v>
      </c>
      <c r="X216">
        <v>0</v>
      </c>
    </row>
    <row r="217" spans="1:24">
      <c r="A217">
        <v>73</v>
      </c>
      <c r="B217" t="s">
        <v>1071</v>
      </c>
      <c r="C217">
        <v>72</v>
      </c>
      <c r="D217">
        <v>2000</v>
      </c>
      <c r="E217">
        <v>20.7563</v>
      </c>
      <c r="F217">
        <v>20.7563</v>
      </c>
      <c r="G217">
        <v>84</v>
      </c>
      <c r="H217">
        <v>7056</v>
      </c>
      <c r="I217">
        <v>15523000</v>
      </c>
      <c r="J217">
        <v>322.2</v>
      </c>
      <c r="K217">
        <v>4</v>
      </c>
      <c r="L217">
        <v>2</v>
      </c>
      <c r="M217">
        <v>6</v>
      </c>
      <c r="N217">
        <v>-0.32</v>
      </c>
      <c r="O217">
        <v>-0.17</v>
      </c>
      <c r="P217">
        <v>249.79839999999999</v>
      </c>
      <c r="Q217">
        <v>822</v>
      </c>
      <c r="R217">
        <v>675684</v>
      </c>
      <c r="S217">
        <v>15.523</v>
      </c>
      <c r="T217">
        <v>240.96350000000001</v>
      </c>
      <c r="U217">
        <v>1</v>
      </c>
      <c r="V217">
        <v>0</v>
      </c>
      <c r="W217">
        <v>1</v>
      </c>
      <c r="X217">
        <v>0</v>
      </c>
    </row>
    <row r="218" spans="1:24">
      <c r="A218">
        <v>73</v>
      </c>
      <c r="B218" t="s">
        <v>1071</v>
      </c>
      <c r="C218">
        <v>72</v>
      </c>
      <c r="D218">
        <v>2003</v>
      </c>
      <c r="E218">
        <v>31.932230000000001</v>
      </c>
      <c r="F218">
        <v>30.166070000000001</v>
      </c>
      <c r="G218">
        <v>78</v>
      </c>
      <c r="H218">
        <v>6084</v>
      </c>
      <c r="I218">
        <v>16893900</v>
      </c>
      <c r="J218">
        <v>509.62560000000002</v>
      </c>
      <c r="K218">
        <v>3</v>
      </c>
      <c r="L218">
        <v>3</v>
      </c>
      <c r="M218">
        <v>6</v>
      </c>
      <c r="N218">
        <v>-0.43</v>
      </c>
      <c r="O218">
        <v>-0.06</v>
      </c>
      <c r="P218">
        <v>306.10430000000002</v>
      </c>
      <c r="Q218">
        <v>764</v>
      </c>
      <c r="R218">
        <v>583696</v>
      </c>
      <c r="S218">
        <v>16.893999999999998</v>
      </c>
      <c r="T218">
        <v>285.40719999999999</v>
      </c>
      <c r="U218">
        <v>0.94469000000000003</v>
      </c>
      <c r="V218">
        <v>0</v>
      </c>
      <c r="W218">
        <v>0</v>
      </c>
      <c r="X218">
        <v>1</v>
      </c>
    </row>
    <row r="219" spans="1:24">
      <c r="A219">
        <v>74</v>
      </c>
      <c r="B219" t="s">
        <v>1072</v>
      </c>
      <c r="C219">
        <v>73</v>
      </c>
      <c r="D219">
        <v>1995</v>
      </c>
      <c r="E219">
        <v>47.23019</v>
      </c>
      <c r="F219">
        <v>51.28595</v>
      </c>
      <c r="G219">
        <v>133</v>
      </c>
      <c r="H219">
        <v>17689</v>
      </c>
      <c r="I219">
        <v>9210000</v>
      </c>
      <c r="J219">
        <v>472.34359999999998</v>
      </c>
      <c r="K219">
        <v>3</v>
      </c>
      <c r="L219">
        <v>2</v>
      </c>
      <c r="M219">
        <v>5</v>
      </c>
      <c r="N219">
        <v>-0.69</v>
      </c>
      <c r="O219">
        <v>-0.43</v>
      </c>
      <c r="P219">
        <v>164.76230000000001</v>
      </c>
      <c r="Q219">
        <v>561</v>
      </c>
      <c r="R219">
        <v>314721</v>
      </c>
      <c r="S219">
        <v>9.2100000000000009</v>
      </c>
      <c r="T219">
        <v>84.824100000000001</v>
      </c>
      <c r="U219">
        <v>1.0858719999999999</v>
      </c>
      <c r="V219">
        <v>1</v>
      </c>
      <c r="W219">
        <v>0</v>
      </c>
      <c r="X219">
        <v>0</v>
      </c>
    </row>
    <row r="220" spans="1:24">
      <c r="A220">
        <v>74</v>
      </c>
      <c r="B220" t="s">
        <v>1072</v>
      </c>
      <c r="C220">
        <v>73</v>
      </c>
      <c r="D220">
        <v>2000</v>
      </c>
      <c r="E220">
        <v>43.28387</v>
      </c>
      <c r="F220">
        <v>43.28387</v>
      </c>
      <c r="G220">
        <v>117</v>
      </c>
      <c r="H220">
        <v>13689</v>
      </c>
      <c r="I220">
        <v>10311000</v>
      </c>
      <c r="J220">
        <v>446.3</v>
      </c>
      <c r="K220">
        <v>3</v>
      </c>
      <c r="L220">
        <v>3</v>
      </c>
      <c r="M220">
        <v>6</v>
      </c>
      <c r="N220">
        <v>-0.65</v>
      </c>
      <c r="O220">
        <v>-0.1</v>
      </c>
      <c r="P220">
        <v>169.10659999999999</v>
      </c>
      <c r="Q220">
        <v>599</v>
      </c>
      <c r="R220">
        <v>358801</v>
      </c>
      <c r="S220">
        <v>10.311</v>
      </c>
      <c r="T220">
        <v>106.3167</v>
      </c>
      <c r="U220">
        <v>1</v>
      </c>
      <c r="V220">
        <v>0</v>
      </c>
      <c r="W220">
        <v>1</v>
      </c>
      <c r="X220">
        <v>0</v>
      </c>
    </row>
    <row r="221" spans="1:24">
      <c r="A221">
        <v>74</v>
      </c>
      <c r="B221" t="s">
        <v>1072</v>
      </c>
      <c r="C221">
        <v>73</v>
      </c>
      <c r="D221">
        <v>2003</v>
      </c>
      <c r="E221">
        <v>45.424140000000001</v>
      </c>
      <c r="F221">
        <v>42.911740000000002</v>
      </c>
      <c r="G221">
        <v>112</v>
      </c>
      <c r="H221">
        <v>12544</v>
      </c>
      <c r="I221">
        <v>10962010</v>
      </c>
      <c r="J221">
        <v>470.39850000000001</v>
      </c>
      <c r="K221">
        <v>4</v>
      </c>
      <c r="L221">
        <v>3</v>
      </c>
      <c r="M221">
        <v>7</v>
      </c>
      <c r="N221">
        <v>-0.72</v>
      </c>
      <c r="O221">
        <v>-0.48</v>
      </c>
      <c r="P221">
        <v>146.60589999999999</v>
      </c>
      <c r="Q221">
        <v>575</v>
      </c>
      <c r="R221">
        <v>330625</v>
      </c>
      <c r="S221">
        <v>10.962</v>
      </c>
      <c r="T221">
        <v>120.16540000000001</v>
      </c>
      <c r="U221">
        <v>0.94469000000000003</v>
      </c>
      <c r="V221">
        <v>0</v>
      </c>
      <c r="W221">
        <v>0</v>
      </c>
      <c r="X221">
        <v>1</v>
      </c>
    </row>
    <row r="222" spans="1:24">
      <c r="A222">
        <v>75</v>
      </c>
      <c r="B222" t="s">
        <v>254</v>
      </c>
      <c r="C222">
        <v>74</v>
      </c>
      <c r="D222">
        <v>1995</v>
      </c>
      <c r="E222">
        <v>5.2799969999999998</v>
      </c>
      <c r="F222">
        <v>5.7334019999999999</v>
      </c>
      <c r="G222">
        <v>11</v>
      </c>
      <c r="H222">
        <v>121</v>
      </c>
      <c r="I222">
        <v>20609860</v>
      </c>
      <c r="J222">
        <v>118.16540000000001</v>
      </c>
      <c r="K222">
        <v>5</v>
      </c>
      <c r="L222">
        <v>4</v>
      </c>
      <c r="M222">
        <v>9</v>
      </c>
      <c r="N222">
        <v>1.07</v>
      </c>
      <c r="O222">
        <v>0.86</v>
      </c>
      <c r="P222">
        <v>4680.317</v>
      </c>
      <c r="Q222">
        <v>7683</v>
      </c>
      <c r="R222">
        <v>59028489</v>
      </c>
      <c r="S222">
        <v>20.61</v>
      </c>
      <c r="T222">
        <v>424.77210000000002</v>
      </c>
      <c r="U222">
        <v>1.0858719999999999</v>
      </c>
      <c r="V222">
        <v>1</v>
      </c>
      <c r="W222">
        <v>0</v>
      </c>
      <c r="X222">
        <v>0</v>
      </c>
    </row>
    <row r="223" spans="1:24">
      <c r="A223">
        <v>75</v>
      </c>
      <c r="B223" t="s">
        <v>254</v>
      </c>
      <c r="C223">
        <v>74</v>
      </c>
      <c r="D223">
        <v>2000</v>
      </c>
      <c r="E223">
        <v>1.949721</v>
      </c>
      <c r="F223">
        <v>1.949721</v>
      </c>
      <c r="G223">
        <v>8</v>
      </c>
      <c r="H223">
        <v>64</v>
      </c>
      <c r="I223">
        <v>23270000</v>
      </c>
      <c r="J223">
        <v>45.370010000000001</v>
      </c>
      <c r="K223">
        <v>5</v>
      </c>
      <c r="L223">
        <v>5</v>
      </c>
      <c r="M223">
        <v>10</v>
      </c>
      <c r="N223">
        <v>0.69</v>
      </c>
      <c r="O223">
        <v>0.36</v>
      </c>
      <c r="P223">
        <v>3881.3809999999999</v>
      </c>
      <c r="Q223">
        <v>8952</v>
      </c>
      <c r="R223">
        <v>80138304</v>
      </c>
      <c r="S223">
        <v>23.27</v>
      </c>
      <c r="T223">
        <v>541.49289999999996</v>
      </c>
      <c r="U223">
        <v>1</v>
      </c>
      <c r="V223">
        <v>0</v>
      </c>
      <c r="W223">
        <v>1</v>
      </c>
      <c r="X223">
        <v>0</v>
      </c>
    </row>
    <row r="224" spans="1:24">
      <c r="A224">
        <v>75</v>
      </c>
      <c r="B224" t="s">
        <v>254</v>
      </c>
      <c r="C224">
        <v>74</v>
      </c>
      <c r="D224">
        <v>2003</v>
      </c>
      <c r="E224">
        <v>4.4053800000000001</v>
      </c>
      <c r="F224">
        <v>4.1617199999999999</v>
      </c>
      <c r="G224">
        <v>7</v>
      </c>
      <c r="H224">
        <v>49</v>
      </c>
      <c r="I224">
        <v>24774250</v>
      </c>
      <c r="J224">
        <v>103.1024</v>
      </c>
      <c r="K224">
        <v>4</v>
      </c>
      <c r="L224">
        <v>5</v>
      </c>
      <c r="M224">
        <v>9</v>
      </c>
      <c r="N224">
        <v>0.98</v>
      </c>
      <c r="O224">
        <v>0.5</v>
      </c>
      <c r="P224">
        <v>3955.6860000000001</v>
      </c>
      <c r="Q224">
        <v>8986</v>
      </c>
      <c r="R224">
        <v>80748196</v>
      </c>
      <c r="S224">
        <v>24.774000000000001</v>
      </c>
      <c r="T224">
        <v>613.75109999999995</v>
      </c>
      <c r="U224">
        <v>0.94469000000000003</v>
      </c>
      <c r="V224">
        <v>0</v>
      </c>
      <c r="W224">
        <v>0</v>
      </c>
      <c r="X224">
        <v>1</v>
      </c>
    </row>
    <row r="225" spans="1:24">
      <c r="A225">
        <v>76</v>
      </c>
      <c r="B225" t="s">
        <v>1073</v>
      </c>
      <c r="C225">
        <v>75</v>
      </c>
      <c r="D225">
        <v>1995</v>
      </c>
      <c r="E225">
        <v>56.27131</v>
      </c>
      <c r="F225">
        <v>61.103450000000002</v>
      </c>
      <c r="G225">
        <v>131</v>
      </c>
      <c r="H225">
        <v>17161</v>
      </c>
      <c r="I225">
        <v>9620000</v>
      </c>
      <c r="J225">
        <v>587.8152</v>
      </c>
      <c r="K225">
        <v>3</v>
      </c>
      <c r="L225">
        <v>2</v>
      </c>
      <c r="M225">
        <v>5</v>
      </c>
      <c r="N225">
        <v>-0.85</v>
      </c>
      <c r="O225">
        <v>0.16</v>
      </c>
      <c r="P225">
        <v>278.3707</v>
      </c>
      <c r="Q225">
        <v>698</v>
      </c>
      <c r="R225">
        <v>487204</v>
      </c>
      <c r="S225">
        <v>9.6199999999999992</v>
      </c>
      <c r="T225">
        <v>92.544399999999996</v>
      </c>
      <c r="U225">
        <v>1.0858719999999999</v>
      </c>
      <c r="V225">
        <v>1</v>
      </c>
      <c r="W225">
        <v>0</v>
      </c>
      <c r="X225">
        <v>0</v>
      </c>
    </row>
    <row r="226" spans="1:24">
      <c r="A226">
        <v>76</v>
      </c>
      <c r="B226" t="s">
        <v>1073</v>
      </c>
      <c r="C226">
        <v>75</v>
      </c>
      <c r="D226">
        <v>2000</v>
      </c>
      <c r="E226">
        <v>33.1845</v>
      </c>
      <c r="F226">
        <v>33.1845</v>
      </c>
      <c r="G226">
        <v>124</v>
      </c>
      <c r="H226">
        <v>15376</v>
      </c>
      <c r="I226">
        <v>10840000</v>
      </c>
      <c r="J226">
        <v>359.72</v>
      </c>
      <c r="K226">
        <v>3</v>
      </c>
      <c r="L226">
        <v>2</v>
      </c>
      <c r="M226">
        <v>5</v>
      </c>
      <c r="N226">
        <v>-0.81</v>
      </c>
      <c r="O226">
        <v>0.24</v>
      </c>
      <c r="P226">
        <v>223.4751</v>
      </c>
      <c r="Q226">
        <v>792</v>
      </c>
      <c r="R226">
        <v>627264</v>
      </c>
      <c r="S226">
        <v>10.84</v>
      </c>
      <c r="T226">
        <v>117.5056</v>
      </c>
      <c r="U226">
        <v>1</v>
      </c>
      <c r="V226">
        <v>0</v>
      </c>
      <c r="W226">
        <v>1</v>
      </c>
      <c r="X226">
        <v>0</v>
      </c>
    </row>
    <row r="227" spans="1:24">
      <c r="A227">
        <v>76</v>
      </c>
      <c r="B227" t="s">
        <v>1073</v>
      </c>
      <c r="C227">
        <v>75</v>
      </c>
      <c r="D227">
        <v>2003</v>
      </c>
      <c r="E227">
        <v>45.284289999999999</v>
      </c>
      <c r="F227">
        <v>42.779629999999997</v>
      </c>
      <c r="G227">
        <v>122</v>
      </c>
      <c r="H227">
        <v>14884</v>
      </c>
      <c r="I227">
        <v>11651500</v>
      </c>
      <c r="J227">
        <v>498.46820000000002</v>
      </c>
      <c r="K227">
        <v>2</v>
      </c>
      <c r="L227">
        <v>2</v>
      </c>
      <c r="M227">
        <v>4</v>
      </c>
      <c r="N227">
        <v>-0.45</v>
      </c>
      <c r="O227">
        <v>-0.33</v>
      </c>
      <c r="P227">
        <v>352.36950000000002</v>
      </c>
      <c r="Q227">
        <v>947</v>
      </c>
      <c r="R227">
        <v>896809</v>
      </c>
      <c r="S227">
        <v>11.651999999999999</v>
      </c>
      <c r="T227">
        <v>135.76910000000001</v>
      </c>
      <c r="U227">
        <v>0.94469000000000003</v>
      </c>
      <c r="V227">
        <v>0</v>
      </c>
      <c r="W227">
        <v>0</v>
      </c>
      <c r="X227">
        <v>1</v>
      </c>
    </row>
    <row r="228" spans="1:24">
      <c r="A228">
        <v>77</v>
      </c>
      <c r="B228" t="s">
        <v>1074</v>
      </c>
      <c r="C228">
        <v>76</v>
      </c>
      <c r="D228">
        <v>1995</v>
      </c>
      <c r="E228">
        <v>24.365079999999999</v>
      </c>
      <c r="F228">
        <v>26.457360000000001</v>
      </c>
      <c r="G228">
        <v>10</v>
      </c>
      <c r="H228">
        <v>100</v>
      </c>
      <c r="I228">
        <v>378000</v>
      </c>
      <c r="J228">
        <v>10.00088</v>
      </c>
      <c r="K228">
        <v>1</v>
      </c>
      <c r="L228">
        <v>1</v>
      </c>
      <c r="M228">
        <v>2</v>
      </c>
      <c r="N228">
        <v>1.27</v>
      </c>
      <c r="O228">
        <v>0.22</v>
      </c>
      <c r="P228">
        <v>9324.6029999999992</v>
      </c>
      <c r="Q228">
        <v>14564</v>
      </c>
      <c r="R228" s="87">
        <v>212000000</v>
      </c>
      <c r="S228">
        <v>0.378</v>
      </c>
      <c r="T228">
        <v>0.14288400000000001</v>
      </c>
      <c r="U228">
        <v>1.0858719999999999</v>
      </c>
      <c r="V228">
        <v>1</v>
      </c>
      <c r="W228">
        <v>0</v>
      </c>
      <c r="X228">
        <v>0</v>
      </c>
    </row>
    <row r="229" spans="1:24">
      <c r="A229">
        <v>77</v>
      </c>
      <c r="B229" t="s">
        <v>1074</v>
      </c>
      <c r="C229">
        <v>76</v>
      </c>
      <c r="D229">
        <v>2000</v>
      </c>
      <c r="E229">
        <v>54.461539999999999</v>
      </c>
      <c r="F229">
        <v>54.461539999999999</v>
      </c>
      <c r="G229">
        <v>6</v>
      </c>
      <c r="H229">
        <v>36</v>
      </c>
      <c r="I229">
        <v>390000</v>
      </c>
      <c r="J229">
        <v>21.24</v>
      </c>
      <c r="K229">
        <v>1</v>
      </c>
      <c r="L229">
        <v>1</v>
      </c>
      <c r="M229">
        <v>2</v>
      </c>
      <c r="N229">
        <v>0.86</v>
      </c>
      <c r="O229">
        <v>0.45</v>
      </c>
      <c r="P229">
        <v>9760.7919999999995</v>
      </c>
      <c r="Q229">
        <v>18368</v>
      </c>
      <c r="R229" s="87">
        <v>337000000</v>
      </c>
      <c r="S229">
        <v>0.39</v>
      </c>
      <c r="T229">
        <v>0.15210000000000001</v>
      </c>
      <c r="U229">
        <v>1</v>
      </c>
      <c r="V229">
        <v>0</v>
      </c>
      <c r="W229">
        <v>1</v>
      </c>
      <c r="X229">
        <v>0</v>
      </c>
    </row>
    <row r="230" spans="1:24">
      <c r="A230">
        <v>77</v>
      </c>
      <c r="B230" t="s">
        <v>1074</v>
      </c>
      <c r="C230">
        <v>76</v>
      </c>
      <c r="D230">
        <v>2003</v>
      </c>
      <c r="E230">
        <v>25.338349999999998</v>
      </c>
      <c r="F230">
        <v>23.936889999999998</v>
      </c>
      <c r="G230">
        <v>5</v>
      </c>
      <c r="H230">
        <v>25</v>
      </c>
      <c r="I230">
        <v>399000</v>
      </c>
      <c r="J230">
        <v>9.5508199999999999</v>
      </c>
      <c r="K230">
        <v>1</v>
      </c>
      <c r="L230">
        <v>1</v>
      </c>
      <c r="M230">
        <v>2</v>
      </c>
      <c r="N230">
        <v>1.1200000000000001</v>
      </c>
      <c r="O230">
        <v>1.21</v>
      </c>
      <c r="P230">
        <v>11290.15</v>
      </c>
      <c r="Q230">
        <v>17020</v>
      </c>
      <c r="R230" s="87">
        <v>290000000</v>
      </c>
      <c r="S230">
        <v>0.39900000000000002</v>
      </c>
      <c r="T230">
        <v>0.15920100000000001</v>
      </c>
      <c r="U230">
        <v>0.94469000000000003</v>
      </c>
      <c r="V230">
        <v>0</v>
      </c>
      <c r="W230">
        <v>0</v>
      </c>
      <c r="X230">
        <v>1</v>
      </c>
    </row>
    <row r="231" spans="1:24">
      <c r="A231">
        <v>78</v>
      </c>
      <c r="B231" t="s">
        <v>1075</v>
      </c>
      <c r="C231">
        <v>77</v>
      </c>
      <c r="D231">
        <v>1995</v>
      </c>
      <c r="E231">
        <v>100.15649999999999</v>
      </c>
      <c r="F231">
        <v>108.7572</v>
      </c>
      <c r="G231">
        <v>99</v>
      </c>
      <c r="H231">
        <v>9801</v>
      </c>
      <c r="I231">
        <v>2300000</v>
      </c>
      <c r="J231">
        <v>250.14150000000001</v>
      </c>
      <c r="K231">
        <v>6</v>
      </c>
      <c r="L231">
        <v>6</v>
      </c>
      <c r="M231">
        <v>12</v>
      </c>
      <c r="N231">
        <v>0.25</v>
      </c>
      <c r="O231">
        <v>-0.65</v>
      </c>
      <c r="P231">
        <v>504.31970000000001</v>
      </c>
      <c r="Q231">
        <v>1684</v>
      </c>
      <c r="R231">
        <v>2835856</v>
      </c>
      <c r="S231">
        <v>2.2999999999999998</v>
      </c>
      <c r="T231">
        <v>5.29</v>
      </c>
      <c r="U231">
        <v>1.0858719999999999</v>
      </c>
      <c r="V231">
        <v>1</v>
      </c>
      <c r="W231">
        <v>0</v>
      </c>
      <c r="X231">
        <v>0</v>
      </c>
    </row>
    <row r="232" spans="1:24">
      <c r="A232">
        <v>78</v>
      </c>
      <c r="B232" t="s">
        <v>1075</v>
      </c>
      <c r="C232">
        <v>77</v>
      </c>
      <c r="D232">
        <v>2000</v>
      </c>
      <c r="E232">
        <v>80.120980000000003</v>
      </c>
      <c r="F232">
        <v>80.120980000000003</v>
      </c>
      <c r="G232">
        <v>84</v>
      </c>
      <c r="H232">
        <v>7056</v>
      </c>
      <c r="I232">
        <v>2645000</v>
      </c>
      <c r="J232">
        <v>211.92</v>
      </c>
      <c r="K232">
        <v>5</v>
      </c>
      <c r="L232">
        <v>6</v>
      </c>
      <c r="M232">
        <v>11</v>
      </c>
      <c r="N232">
        <v>-0.3</v>
      </c>
      <c r="O232">
        <v>-0.38</v>
      </c>
      <c r="P232">
        <v>355.24770000000001</v>
      </c>
      <c r="Q232">
        <v>1666</v>
      </c>
      <c r="R232">
        <v>2775556</v>
      </c>
      <c r="S232">
        <v>2.645</v>
      </c>
      <c r="T232">
        <v>6.9960250000000004</v>
      </c>
      <c r="U232">
        <v>1</v>
      </c>
      <c r="V232">
        <v>0</v>
      </c>
      <c r="W232">
        <v>1</v>
      </c>
      <c r="X232">
        <v>0</v>
      </c>
    </row>
    <row r="233" spans="1:24">
      <c r="A233">
        <v>78</v>
      </c>
      <c r="B233" t="s">
        <v>1075</v>
      </c>
      <c r="C233">
        <v>77</v>
      </c>
      <c r="D233">
        <v>2003</v>
      </c>
      <c r="E233">
        <v>85.228629999999995</v>
      </c>
      <c r="F233">
        <v>80.514660000000006</v>
      </c>
      <c r="G233">
        <v>77</v>
      </c>
      <c r="H233">
        <v>5929</v>
      </c>
      <c r="I233">
        <v>2847869</v>
      </c>
      <c r="J233">
        <v>229.3058</v>
      </c>
      <c r="K233">
        <v>5</v>
      </c>
      <c r="L233">
        <v>6</v>
      </c>
      <c r="M233">
        <v>11</v>
      </c>
      <c r="N233">
        <v>0.1</v>
      </c>
      <c r="O233">
        <v>0.06</v>
      </c>
      <c r="P233">
        <v>392.22899999999998</v>
      </c>
      <c r="Q233">
        <v>1850</v>
      </c>
      <c r="R233">
        <v>3422500</v>
      </c>
      <c r="S233">
        <v>2.8479999999999999</v>
      </c>
      <c r="T233">
        <v>8.1111039999999992</v>
      </c>
      <c r="U233">
        <v>0.94469000000000003</v>
      </c>
      <c r="V233">
        <v>0</v>
      </c>
      <c r="W233">
        <v>0</v>
      </c>
      <c r="X233">
        <v>1</v>
      </c>
    </row>
    <row r="234" spans="1:24">
      <c r="A234">
        <v>79</v>
      </c>
      <c r="B234" t="s">
        <v>1076</v>
      </c>
      <c r="C234">
        <v>78</v>
      </c>
      <c r="D234">
        <v>1995</v>
      </c>
      <c r="E234">
        <v>20.855619999999998</v>
      </c>
      <c r="F234">
        <v>22.646540000000002</v>
      </c>
      <c r="G234">
        <v>20</v>
      </c>
      <c r="H234">
        <v>400</v>
      </c>
      <c r="I234">
        <v>1122000</v>
      </c>
      <c r="J234">
        <v>25.409420000000001</v>
      </c>
      <c r="K234">
        <v>2</v>
      </c>
      <c r="L234">
        <v>1</v>
      </c>
      <c r="M234">
        <v>3</v>
      </c>
      <c r="N234">
        <v>0.7</v>
      </c>
      <c r="O234">
        <v>0.17</v>
      </c>
      <c r="P234">
        <v>3697.0749999999998</v>
      </c>
      <c r="Q234">
        <v>7853</v>
      </c>
      <c r="R234">
        <v>61669609</v>
      </c>
      <c r="S234">
        <v>1.1220000000000001</v>
      </c>
      <c r="T234">
        <v>1.2588839999999999</v>
      </c>
      <c r="U234">
        <v>1.0858719999999999</v>
      </c>
      <c r="V234">
        <v>1</v>
      </c>
      <c r="W234">
        <v>0</v>
      </c>
      <c r="X234">
        <v>0</v>
      </c>
    </row>
    <row r="235" spans="1:24">
      <c r="A235">
        <v>79</v>
      </c>
      <c r="B235" t="s">
        <v>1076</v>
      </c>
      <c r="C235">
        <v>78</v>
      </c>
      <c r="D235">
        <v>2000</v>
      </c>
      <c r="E235">
        <v>17.22831</v>
      </c>
      <c r="F235">
        <v>17.22831</v>
      </c>
      <c r="G235">
        <v>17</v>
      </c>
      <c r="H235">
        <v>289</v>
      </c>
      <c r="I235">
        <v>1187000</v>
      </c>
      <c r="J235">
        <v>20.45</v>
      </c>
      <c r="K235">
        <v>2</v>
      </c>
      <c r="L235">
        <v>1</v>
      </c>
      <c r="M235">
        <v>3</v>
      </c>
      <c r="N235">
        <v>0.79</v>
      </c>
      <c r="O235">
        <v>0.74</v>
      </c>
      <c r="P235">
        <v>3726.9169999999999</v>
      </c>
      <c r="Q235">
        <v>9623</v>
      </c>
      <c r="R235">
        <v>92602129</v>
      </c>
      <c r="S235">
        <v>1.1870000000000001</v>
      </c>
      <c r="T235">
        <v>1.4089689999999999</v>
      </c>
      <c r="U235">
        <v>1</v>
      </c>
      <c r="V235">
        <v>0</v>
      </c>
      <c r="W235">
        <v>1</v>
      </c>
      <c r="X235">
        <v>0</v>
      </c>
    </row>
    <row r="236" spans="1:24">
      <c r="A236">
        <v>80</v>
      </c>
      <c r="B236" t="s">
        <v>165</v>
      </c>
      <c r="C236">
        <v>79</v>
      </c>
      <c r="D236">
        <v>1995</v>
      </c>
      <c r="E236">
        <v>4.2254649999999998</v>
      </c>
      <c r="F236">
        <v>4.5883149999999997</v>
      </c>
      <c r="G236">
        <v>30</v>
      </c>
      <c r="H236">
        <v>900</v>
      </c>
      <c r="I236">
        <v>91145000</v>
      </c>
      <c r="J236">
        <v>418.202</v>
      </c>
      <c r="K236">
        <v>4</v>
      </c>
      <c r="L236">
        <v>4</v>
      </c>
      <c r="M236">
        <v>8</v>
      </c>
      <c r="N236">
        <v>-0.12</v>
      </c>
      <c r="O236">
        <v>0.59</v>
      </c>
      <c r="P236">
        <v>3415.8389999999999</v>
      </c>
      <c r="Q236">
        <v>7629</v>
      </c>
      <c r="R236">
        <v>58201641</v>
      </c>
      <c r="S236">
        <v>91.144999999999996</v>
      </c>
      <c r="T236">
        <v>8307.4110000000001</v>
      </c>
      <c r="U236">
        <v>1.0858719999999999</v>
      </c>
      <c r="V236">
        <v>1</v>
      </c>
      <c r="W236">
        <v>0</v>
      </c>
      <c r="X236">
        <v>0</v>
      </c>
    </row>
    <row r="237" spans="1:24">
      <c r="A237">
        <v>80</v>
      </c>
      <c r="B237" t="s">
        <v>165</v>
      </c>
      <c r="C237">
        <v>79</v>
      </c>
      <c r="D237">
        <v>2003</v>
      </c>
      <c r="E237">
        <v>1.0084960000000001</v>
      </c>
      <c r="F237">
        <v>0.95271600000000001</v>
      </c>
      <c r="G237">
        <v>23</v>
      </c>
      <c r="H237">
        <v>529</v>
      </c>
      <c r="I237">
        <v>102291000</v>
      </c>
      <c r="J237">
        <v>97.454310000000007</v>
      </c>
      <c r="K237">
        <v>2</v>
      </c>
      <c r="L237">
        <v>2</v>
      </c>
      <c r="M237">
        <v>4</v>
      </c>
      <c r="N237">
        <v>0.09</v>
      </c>
      <c r="O237">
        <v>0.5</v>
      </c>
      <c r="P237">
        <v>5902.0649999999996</v>
      </c>
      <c r="Q237">
        <v>8798</v>
      </c>
      <c r="R237">
        <v>77404804</v>
      </c>
      <c r="S237">
        <v>102.291</v>
      </c>
      <c r="T237">
        <v>10463.450000000001</v>
      </c>
      <c r="U237">
        <v>0.94469000000000003</v>
      </c>
      <c r="V237">
        <v>0</v>
      </c>
      <c r="W237">
        <v>0</v>
      </c>
      <c r="X237">
        <v>1</v>
      </c>
    </row>
    <row r="238" spans="1:24">
      <c r="A238">
        <v>81</v>
      </c>
      <c r="B238" t="s">
        <v>1077</v>
      </c>
      <c r="C238">
        <v>80</v>
      </c>
      <c r="D238">
        <v>1995</v>
      </c>
      <c r="E238">
        <v>15.194750000000001</v>
      </c>
      <c r="F238">
        <v>16.499559999999999</v>
      </c>
      <c r="G238">
        <v>29</v>
      </c>
      <c r="H238">
        <v>841</v>
      </c>
      <c r="I238">
        <v>4339000</v>
      </c>
      <c r="J238">
        <v>71.591579999999993</v>
      </c>
      <c r="K238">
        <v>4</v>
      </c>
      <c r="L238">
        <v>4</v>
      </c>
      <c r="M238">
        <v>8</v>
      </c>
      <c r="N238">
        <v>-0.48</v>
      </c>
      <c r="O238">
        <v>7.0000000000000007E-2</v>
      </c>
      <c r="P238">
        <v>438.70209999999997</v>
      </c>
      <c r="Q238">
        <v>1538</v>
      </c>
      <c r="R238">
        <v>2365444</v>
      </c>
      <c r="S238">
        <v>4.3390000000000004</v>
      </c>
      <c r="T238">
        <v>18.826920000000001</v>
      </c>
      <c r="U238">
        <v>1.0858719999999999</v>
      </c>
      <c r="V238">
        <v>1</v>
      </c>
      <c r="W238">
        <v>0</v>
      </c>
      <c r="X238">
        <v>0</v>
      </c>
    </row>
    <row r="239" spans="1:24">
      <c r="A239">
        <v>81</v>
      </c>
      <c r="B239" t="s">
        <v>1077</v>
      </c>
      <c r="C239">
        <v>80</v>
      </c>
      <c r="D239">
        <v>2000</v>
      </c>
      <c r="E239">
        <v>28.651240000000001</v>
      </c>
      <c r="F239">
        <v>28.651240000000001</v>
      </c>
      <c r="G239">
        <v>27</v>
      </c>
      <c r="H239">
        <v>729</v>
      </c>
      <c r="I239">
        <v>4278000</v>
      </c>
      <c r="J239">
        <v>122.57</v>
      </c>
      <c r="K239">
        <v>4</v>
      </c>
      <c r="L239">
        <v>2</v>
      </c>
      <c r="M239">
        <v>6</v>
      </c>
      <c r="N239">
        <v>-1.04</v>
      </c>
      <c r="O239">
        <v>-1.1100000000000001</v>
      </c>
      <c r="P239">
        <v>301.25599999999997</v>
      </c>
      <c r="Q239">
        <v>1290</v>
      </c>
      <c r="R239">
        <v>1664100</v>
      </c>
      <c r="S239">
        <v>4.2779999999999996</v>
      </c>
      <c r="T239">
        <v>18.301279999999998</v>
      </c>
      <c r="U239">
        <v>1</v>
      </c>
      <c r="V239">
        <v>0</v>
      </c>
      <c r="W239">
        <v>1</v>
      </c>
      <c r="X239">
        <v>0</v>
      </c>
    </row>
    <row r="240" spans="1:24">
      <c r="A240">
        <v>81</v>
      </c>
      <c r="B240" t="s">
        <v>1077</v>
      </c>
      <c r="C240">
        <v>80</v>
      </c>
      <c r="D240">
        <v>2003</v>
      </c>
      <c r="E240">
        <v>27.51793</v>
      </c>
      <c r="F240">
        <v>25.995920000000002</v>
      </c>
      <c r="G240">
        <v>26</v>
      </c>
      <c r="H240">
        <v>676</v>
      </c>
      <c r="I240">
        <v>4237600</v>
      </c>
      <c r="J240">
        <v>110.1707</v>
      </c>
      <c r="K240">
        <v>4</v>
      </c>
      <c r="L240">
        <v>3</v>
      </c>
      <c r="M240">
        <v>7</v>
      </c>
      <c r="N240">
        <v>-0.66</v>
      </c>
      <c r="O240">
        <v>-0.33</v>
      </c>
      <c r="P240">
        <v>441.58879999999999</v>
      </c>
      <c r="Q240">
        <v>1428</v>
      </c>
      <c r="R240">
        <v>2039184</v>
      </c>
      <c r="S240">
        <v>4.2380000000000004</v>
      </c>
      <c r="T240">
        <v>17.960640000000001</v>
      </c>
      <c r="U240">
        <v>0.94469000000000003</v>
      </c>
      <c r="V240">
        <v>0</v>
      </c>
      <c r="W240">
        <v>0</v>
      </c>
      <c r="X240">
        <v>1</v>
      </c>
    </row>
    <row r="241" spans="1:24">
      <c r="A241">
        <v>82</v>
      </c>
      <c r="B241" t="s">
        <v>1078</v>
      </c>
      <c r="C241">
        <v>81</v>
      </c>
      <c r="D241">
        <v>1995</v>
      </c>
      <c r="E241">
        <v>92.589010000000002</v>
      </c>
      <c r="F241">
        <v>100.5398</v>
      </c>
      <c r="G241">
        <v>67</v>
      </c>
      <c r="H241">
        <v>4489</v>
      </c>
      <c r="I241">
        <v>2275000</v>
      </c>
      <c r="J241">
        <v>228.72810000000001</v>
      </c>
      <c r="K241">
        <v>3</v>
      </c>
      <c r="L241">
        <v>2</v>
      </c>
      <c r="M241">
        <v>5</v>
      </c>
      <c r="N241">
        <v>-0.27</v>
      </c>
      <c r="O241">
        <v>-0.56999999999999995</v>
      </c>
      <c r="P241">
        <v>585.45219999999995</v>
      </c>
      <c r="Q241">
        <v>1494</v>
      </c>
      <c r="R241">
        <v>2232036</v>
      </c>
      <c r="S241">
        <v>2.2749999999999999</v>
      </c>
      <c r="T241">
        <v>5.1756250000000001</v>
      </c>
      <c r="U241">
        <v>1.0858719999999999</v>
      </c>
      <c r="V241">
        <v>1</v>
      </c>
      <c r="W241">
        <v>0</v>
      </c>
      <c r="X241">
        <v>0</v>
      </c>
    </row>
    <row r="242" spans="1:24">
      <c r="A242">
        <v>82</v>
      </c>
      <c r="B242" t="s">
        <v>1078</v>
      </c>
      <c r="C242">
        <v>81</v>
      </c>
      <c r="D242">
        <v>2000</v>
      </c>
      <c r="E242">
        <v>90.69641</v>
      </c>
      <c r="F242">
        <v>90.69641</v>
      </c>
      <c r="G242">
        <v>60</v>
      </c>
      <c r="H242">
        <v>3600</v>
      </c>
      <c r="I242">
        <v>2398000</v>
      </c>
      <c r="J242">
        <v>217.49</v>
      </c>
      <c r="K242">
        <v>3</v>
      </c>
      <c r="L242">
        <v>2</v>
      </c>
      <c r="M242">
        <v>5</v>
      </c>
      <c r="N242">
        <v>0.15</v>
      </c>
      <c r="O242">
        <v>0.37</v>
      </c>
      <c r="P242">
        <v>394.7176</v>
      </c>
      <c r="Q242">
        <v>1620</v>
      </c>
      <c r="R242">
        <v>2624400</v>
      </c>
      <c r="S242">
        <v>2.3980000000000001</v>
      </c>
      <c r="T242">
        <v>5.7504039999999996</v>
      </c>
      <c r="U242">
        <v>1</v>
      </c>
      <c r="V242">
        <v>0</v>
      </c>
      <c r="W242">
        <v>1</v>
      </c>
      <c r="X242">
        <v>0</v>
      </c>
    </row>
    <row r="243" spans="1:24">
      <c r="A243">
        <v>82</v>
      </c>
      <c r="B243" t="s">
        <v>1078</v>
      </c>
      <c r="C243">
        <v>81</v>
      </c>
      <c r="D243">
        <v>2003</v>
      </c>
      <c r="E243">
        <v>99.670580000000001</v>
      </c>
      <c r="F243">
        <v>94.157830000000004</v>
      </c>
      <c r="G243">
        <v>56</v>
      </c>
      <c r="H243">
        <v>3136</v>
      </c>
      <c r="I243">
        <v>2479568</v>
      </c>
      <c r="J243">
        <v>233.51140000000001</v>
      </c>
      <c r="K243">
        <v>2</v>
      </c>
      <c r="L243">
        <v>2</v>
      </c>
      <c r="M243">
        <v>4</v>
      </c>
      <c r="N243">
        <v>-0.32</v>
      </c>
      <c r="O243">
        <v>0.04</v>
      </c>
      <c r="P243">
        <v>485.55669999999998</v>
      </c>
      <c r="Q243">
        <v>1733</v>
      </c>
      <c r="R243">
        <v>3003289</v>
      </c>
      <c r="S243">
        <v>2.48</v>
      </c>
      <c r="T243">
        <v>6.1504000000000003</v>
      </c>
      <c r="U243">
        <v>0.94469000000000003</v>
      </c>
      <c r="V243">
        <v>0</v>
      </c>
      <c r="W243">
        <v>0</v>
      </c>
      <c r="X243">
        <v>1</v>
      </c>
    </row>
    <row r="244" spans="1:24">
      <c r="A244">
        <v>83</v>
      </c>
      <c r="B244" t="s">
        <v>1079</v>
      </c>
      <c r="C244">
        <v>82</v>
      </c>
      <c r="D244">
        <v>1995</v>
      </c>
      <c r="E244">
        <v>18.766390000000001</v>
      </c>
      <c r="F244">
        <v>20.3779</v>
      </c>
      <c r="G244">
        <v>51</v>
      </c>
      <c r="H244">
        <v>2601</v>
      </c>
      <c r="I244">
        <v>26386000</v>
      </c>
      <c r="J244">
        <v>537.69129999999996</v>
      </c>
      <c r="K244">
        <v>5</v>
      </c>
      <c r="L244">
        <v>5</v>
      </c>
      <c r="M244">
        <v>10</v>
      </c>
      <c r="N244">
        <v>-0.06</v>
      </c>
      <c r="O244">
        <v>-0.01</v>
      </c>
      <c r="P244">
        <v>1357.491</v>
      </c>
      <c r="Q244">
        <v>3214</v>
      </c>
      <c r="R244">
        <v>10329796</v>
      </c>
      <c r="S244">
        <v>26.385999999999999</v>
      </c>
      <c r="T244">
        <v>696.221</v>
      </c>
      <c r="U244">
        <v>1.0858719999999999</v>
      </c>
      <c r="V244">
        <v>1</v>
      </c>
      <c r="W244">
        <v>0</v>
      </c>
      <c r="X244">
        <v>0</v>
      </c>
    </row>
    <row r="245" spans="1:24">
      <c r="A245">
        <v>83</v>
      </c>
      <c r="B245" t="s">
        <v>1079</v>
      </c>
      <c r="C245">
        <v>82</v>
      </c>
      <c r="D245">
        <v>2000</v>
      </c>
      <c r="E245">
        <v>14.60721</v>
      </c>
      <c r="F245">
        <v>14.60721</v>
      </c>
      <c r="G245">
        <v>41</v>
      </c>
      <c r="H245">
        <v>1681</v>
      </c>
      <c r="I245">
        <v>28705000</v>
      </c>
      <c r="J245">
        <v>419.3</v>
      </c>
      <c r="K245">
        <v>4</v>
      </c>
      <c r="L245">
        <v>5</v>
      </c>
      <c r="M245">
        <v>9</v>
      </c>
      <c r="N245">
        <v>0.02</v>
      </c>
      <c r="O245">
        <v>0.32</v>
      </c>
      <c r="P245">
        <v>1161.2639999999999</v>
      </c>
      <c r="Q245">
        <v>3470</v>
      </c>
      <c r="R245">
        <v>12040900</v>
      </c>
      <c r="S245">
        <v>28.704999999999998</v>
      </c>
      <c r="T245">
        <v>823.97699999999998</v>
      </c>
      <c r="U245">
        <v>1</v>
      </c>
      <c r="V245">
        <v>0</v>
      </c>
      <c r="W245">
        <v>1</v>
      </c>
      <c r="X245">
        <v>0</v>
      </c>
    </row>
    <row r="246" spans="1:24">
      <c r="A246">
        <v>83</v>
      </c>
      <c r="B246" t="s">
        <v>1079</v>
      </c>
      <c r="C246">
        <v>82</v>
      </c>
      <c r="D246">
        <v>2003</v>
      </c>
      <c r="E246">
        <v>17.361809999999998</v>
      </c>
      <c r="F246">
        <v>16.401530000000001</v>
      </c>
      <c r="G246">
        <v>36</v>
      </c>
      <c r="H246">
        <v>1296</v>
      </c>
      <c r="I246">
        <v>30112640</v>
      </c>
      <c r="J246">
        <v>493.89940000000001</v>
      </c>
      <c r="K246">
        <v>5</v>
      </c>
      <c r="L246">
        <v>5</v>
      </c>
      <c r="M246">
        <v>10</v>
      </c>
      <c r="N246">
        <v>0.01</v>
      </c>
      <c r="O246">
        <v>-0.14000000000000001</v>
      </c>
      <c r="P246">
        <v>1371.7860000000001</v>
      </c>
      <c r="Q246">
        <v>3788</v>
      </c>
      <c r="R246">
        <v>14348944</v>
      </c>
      <c r="S246">
        <v>30.113</v>
      </c>
      <c r="T246">
        <v>906.79280000000006</v>
      </c>
      <c r="U246">
        <v>0.94469000000000003</v>
      </c>
      <c r="V246">
        <v>0</v>
      </c>
      <c r="W246">
        <v>0</v>
      </c>
      <c r="X246">
        <v>1</v>
      </c>
    </row>
    <row r="247" spans="1:24">
      <c r="A247">
        <v>84</v>
      </c>
      <c r="B247" t="s">
        <v>1080</v>
      </c>
      <c r="C247">
        <v>83</v>
      </c>
      <c r="D247">
        <v>1995</v>
      </c>
      <c r="E247">
        <v>67.266750000000002</v>
      </c>
      <c r="F247">
        <v>73.043090000000007</v>
      </c>
      <c r="G247">
        <v>129</v>
      </c>
      <c r="H247">
        <v>16641</v>
      </c>
      <c r="I247">
        <v>15820000</v>
      </c>
      <c r="J247">
        <v>1155.5419999999999</v>
      </c>
      <c r="K247">
        <v>4</v>
      </c>
      <c r="L247">
        <v>3</v>
      </c>
      <c r="M247">
        <v>7</v>
      </c>
      <c r="N247">
        <v>-0.72</v>
      </c>
      <c r="O247">
        <v>-0.98</v>
      </c>
      <c r="P247">
        <v>158.6131</v>
      </c>
      <c r="Q247">
        <v>684</v>
      </c>
      <c r="R247">
        <v>467856</v>
      </c>
      <c r="S247">
        <v>15.82</v>
      </c>
      <c r="T247">
        <v>250.2724</v>
      </c>
      <c r="U247">
        <v>1.0858719999999999</v>
      </c>
      <c r="V247">
        <v>1</v>
      </c>
      <c r="W247">
        <v>0</v>
      </c>
      <c r="X247">
        <v>0</v>
      </c>
    </row>
    <row r="248" spans="1:24">
      <c r="A248">
        <v>84</v>
      </c>
      <c r="B248" t="s">
        <v>1080</v>
      </c>
      <c r="C248">
        <v>83</v>
      </c>
      <c r="D248">
        <v>2000</v>
      </c>
      <c r="E248">
        <v>49.573230000000002</v>
      </c>
      <c r="F248">
        <v>49.573230000000002</v>
      </c>
      <c r="G248">
        <v>110</v>
      </c>
      <c r="H248">
        <v>12100</v>
      </c>
      <c r="I248">
        <v>17691000</v>
      </c>
      <c r="J248">
        <v>877</v>
      </c>
      <c r="K248">
        <v>4</v>
      </c>
      <c r="L248">
        <v>3</v>
      </c>
      <c r="M248">
        <v>7</v>
      </c>
      <c r="N248">
        <v>-0.31</v>
      </c>
      <c r="O248">
        <v>-0.05</v>
      </c>
      <c r="P248">
        <v>208.279</v>
      </c>
      <c r="Q248">
        <v>881</v>
      </c>
      <c r="R248">
        <v>776161</v>
      </c>
      <c r="S248">
        <v>17.690999999999999</v>
      </c>
      <c r="T248">
        <v>312.97149999999999</v>
      </c>
      <c r="U248">
        <v>1</v>
      </c>
      <c r="V248">
        <v>0</v>
      </c>
      <c r="W248">
        <v>1</v>
      </c>
      <c r="X248">
        <v>0</v>
      </c>
    </row>
    <row r="249" spans="1:24">
      <c r="A249">
        <v>84</v>
      </c>
      <c r="B249" t="s">
        <v>1080</v>
      </c>
      <c r="C249">
        <v>83</v>
      </c>
      <c r="D249">
        <v>2003</v>
      </c>
      <c r="E249">
        <v>54.962850000000003</v>
      </c>
      <c r="F249">
        <v>51.922870000000003</v>
      </c>
      <c r="G249">
        <v>101</v>
      </c>
      <c r="H249">
        <v>10201</v>
      </c>
      <c r="I249">
        <v>18791420</v>
      </c>
      <c r="J249">
        <v>975.68269999999995</v>
      </c>
      <c r="K249">
        <v>4</v>
      </c>
      <c r="L249">
        <v>3</v>
      </c>
      <c r="M249">
        <v>7</v>
      </c>
      <c r="N249">
        <v>-0.37</v>
      </c>
      <c r="O249">
        <v>-0.4</v>
      </c>
      <c r="P249">
        <v>217.20570000000001</v>
      </c>
      <c r="Q249">
        <v>1058</v>
      </c>
      <c r="R249">
        <v>1119364</v>
      </c>
      <c r="S249">
        <v>18.791</v>
      </c>
      <c r="T249">
        <v>353.10169999999999</v>
      </c>
      <c r="U249">
        <v>0.94469000000000003</v>
      </c>
      <c r="V249">
        <v>0</v>
      </c>
      <c r="W249">
        <v>0</v>
      </c>
      <c r="X249">
        <v>1</v>
      </c>
    </row>
    <row r="250" spans="1:24">
      <c r="A250">
        <v>85</v>
      </c>
      <c r="B250" t="s">
        <v>1081</v>
      </c>
      <c r="C250">
        <v>84</v>
      </c>
      <c r="D250">
        <v>1995</v>
      </c>
      <c r="E250">
        <v>116.50060000000001</v>
      </c>
      <c r="F250">
        <v>126.5048</v>
      </c>
      <c r="G250">
        <v>55</v>
      </c>
      <c r="H250">
        <v>3025</v>
      </c>
      <c r="I250">
        <v>1646000</v>
      </c>
      <c r="J250">
        <v>208.2268</v>
      </c>
      <c r="K250">
        <v>3</v>
      </c>
      <c r="L250">
        <v>2</v>
      </c>
      <c r="M250">
        <v>5</v>
      </c>
      <c r="N250">
        <v>0.44</v>
      </c>
      <c r="O250">
        <v>0.26</v>
      </c>
      <c r="P250">
        <v>2311.0010000000002</v>
      </c>
      <c r="Q250">
        <v>5647</v>
      </c>
      <c r="R250">
        <v>31888609</v>
      </c>
      <c r="S250">
        <v>1.6459999999999999</v>
      </c>
      <c r="T250">
        <v>2.7093159999999998</v>
      </c>
      <c r="U250">
        <v>1.0858719999999999</v>
      </c>
      <c r="V250">
        <v>1</v>
      </c>
      <c r="W250">
        <v>0</v>
      </c>
      <c r="X250">
        <v>0</v>
      </c>
    </row>
    <row r="251" spans="1:24">
      <c r="A251">
        <v>85</v>
      </c>
      <c r="B251" t="s">
        <v>1081</v>
      </c>
      <c r="C251">
        <v>84</v>
      </c>
      <c r="D251">
        <v>2000</v>
      </c>
      <c r="E251">
        <v>80.628299999999996</v>
      </c>
      <c r="F251">
        <v>80.628299999999996</v>
      </c>
      <c r="G251">
        <v>50</v>
      </c>
      <c r="H251">
        <v>2500</v>
      </c>
      <c r="I251">
        <v>1894000</v>
      </c>
      <c r="J251">
        <v>152.71</v>
      </c>
      <c r="K251">
        <v>3</v>
      </c>
      <c r="L251">
        <v>2</v>
      </c>
      <c r="M251">
        <v>5</v>
      </c>
      <c r="N251">
        <v>0.48</v>
      </c>
      <c r="O251">
        <v>0.35</v>
      </c>
      <c r="P251">
        <v>1802.2940000000001</v>
      </c>
      <c r="Q251">
        <v>6035</v>
      </c>
      <c r="R251">
        <v>36421225</v>
      </c>
      <c r="S251">
        <v>1.8939999999999999</v>
      </c>
      <c r="T251">
        <v>3.5872359999999999</v>
      </c>
      <c r="U251">
        <v>1</v>
      </c>
      <c r="V251">
        <v>0</v>
      </c>
      <c r="W251">
        <v>1</v>
      </c>
      <c r="X251">
        <v>0</v>
      </c>
    </row>
    <row r="252" spans="1:24">
      <c r="A252">
        <v>85</v>
      </c>
      <c r="B252" t="s">
        <v>1081</v>
      </c>
      <c r="C252">
        <v>84</v>
      </c>
      <c r="D252">
        <v>2003</v>
      </c>
      <c r="E252">
        <v>72.522549999999995</v>
      </c>
      <c r="F252">
        <v>68.511349999999993</v>
      </c>
      <c r="G252">
        <v>48</v>
      </c>
      <c r="H252">
        <v>2304</v>
      </c>
      <c r="I252">
        <v>2014546</v>
      </c>
      <c r="J252">
        <v>138.0504</v>
      </c>
      <c r="K252">
        <v>3</v>
      </c>
      <c r="L252">
        <v>2</v>
      </c>
      <c r="M252">
        <v>5</v>
      </c>
      <c r="N252">
        <v>0.2</v>
      </c>
      <c r="O252">
        <v>0.35</v>
      </c>
      <c r="P252">
        <v>2002.751</v>
      </c>
      <c r="Q252">
        <v>5793</v>
      </c>
      <c r="R252">
        <v>33558849</v>
      </c>
      <c r="S252">
        <v>2.0150000000000001</v>
      </c>
      <c r="T252">
        <v>4.060225</v>
      </c>
      <c r="U252">
        <v>0.94469000000000003</v>
      </c>
      <c r="V252">
        <v>0</v>
      </c>
      <c r="W252">
        <v>0</v>
      </c>
      <c r="X252">
        <v>1</v>
      </c>
    </row>
    <row r="253" spans="1:24">
      <c r="A253">
        <v>86</v>
      </c>
      <c r="B253" t="s">
        <v>1082</v>
      </c>
      <c r="C253">
        <v>85</v>
      </c>
      <c r="D253">
        <v>1995</v>
      </c>
      <c r="E253">
        <v>21.163460000000001</v>
      </c>
      <c r="F253">
        <v>22.980810000000002</v>
      </c>
      <c r="G253">
        <v>84</v>
      </c>
      <c r="H253">
        <v>7056</v>
      </c>
      <c r="I253">
        <v>20439000</v>
      </c>
      <c r="J253">
        <v>469.70479999999998</v>
      </c>
      <c r="K253">
        <v>4</v>
      </c>
      <c r="L253">
        <v>3</v>
      </c>
      <c r="M253">
        <v>7</v>
      </c>
      <c r="N253">
        <v>-0.38</v>
      </c>
      <c r="O253">
        <v>-0.22</v>
      </c>
      <c r="P253">
        <v>233.81950000000001</v>
      </c>
      <c r="Q253">
        <v>1180</v>
      </c>
      <c r="R253">
        <v>1392400</v>
      </c>
      <c r="S253">
        <v>20.439</v>
      </c>
      <c r="T253">
        <v>417.7527</v>
      </c>
      <c r="U253">
        <v>1.0858719999999999</v>
      </c>
      <c r="V253">
        <v>1</v>
      </c>
      <c r="W253">
        <v>0</v>
      </c>
      <c r="X253">
        <v>0</v>
      </c>
    </row>
    <row r="254" spans="1:24">
      <c r="A254">
        <v>86</v>
      </c>
      <c r="B254" t="s">
        <v>1082</v>
      </c>
      <c r="C254">
        <v>85</v>
      </c>
      <c r="D254">
        <v>2000</v>
      </c>
      <c r="E254">
        <v>16.907520000000002</v>
      </c>
      <c r="F254">
        <v>16.907520000000002</v>
      </c>
      <c r="G254">
        <v>69</v>
      </c>
      <c r="H254">
        <v>4761</v>
      </c>
      <c r="I254">
        <v>23043000</v>
      </c>
      <c r="J254">
        <v>389.6</v>
      </c>
      <c r="K254">
        <v>4</v>
      </c>
      <c r="L254">
        <v>3</v>
      </c>
      <c r="M254">
        <v>7</v>
      </c>
      <c r="N254">
        <v>-0.62</v>
      </c>
      <c r="O254">
        <v>-0.39</v>
      </c>
      <c r="P254">
        <v>238.4348</v>
      </c>
      <c r="Q254">
        <v>1321</v>
      </c>
      <c r="R254">
        <v>1745041</v>
      </c>
      <c r="S254">
        <v>23.042999999999999</v>
      </c>
      <c r="T254">
        <v>530.97979999999995</v>
      </c>
      <c r="U254">
        <v>1</v>
      </c>
      <c r="V254">
        <v>0</v>
      </c>
      <c r="W254">
        <v>1</v>
      </c>
      <c r="X254">
        <v>0</v>
      </c>
    </row>
    <row r="255" spans="1:24">
      <c r="A255">
        <v>86</v>
      </c>
      <c r="B255" t="s">
        <v>1082</v>
      </c>
      <c r="C255">
        <v>85</v>
      </c>
      <c r="D255">
        <v>2003</v>
      </c>
      <c r="E255">
        <v>18.924600000000002</v>
      </c>
      <c r="F255">
        <v>17.877890000000001</v>
      </c>
      <c r="G255">
        <v>61</v>
      </c>
      <c r="H255">
        <v>3721</v>
      </c>
      <c r="I255">
        <v>24659960</v>
      </c>
      <c r="J255">
        <v>440.86869999999999</v>
      </c>
      <c r="K255">
        <v>4</v>
      </c>
      <c r="L255">
        <v>5</v>
      </c>
      <c r="M255">
        <v>9</v>
      </c>
      <c r="N255">
        <v>-0.67</v>
      </c>
      <c r="O255">
        <v>-0.56000000000000005</v>
      </c>
      <c r="P255">
        <v>224.13720000000001</v>
      </c>
      <c r="Q255">
        <v>1341</v>
      </c>
      <c r="R255">
        <v>1798281</v>
      </c>
      <c r="S255">
        <v>24.66</v>
      </c>
      <c r="T255">
        <v>608.11559999999997</v>
      </c>
      <c r="U255">
        <v>0.94469000000000003</v>
      </c>
      <c r="V255">
        <v>0</v>
      </c>
      <c r="W255">
        <v>0</v>
      </c>
      <c r="X255">
        <v>1</v>
      </c>
    </row>
    <row r="256" spans="1:24">
      <c r="A256">
        <v>87</v>
      </c>
      <c r="B256" t="s">
        <v>1083</v>
      </c>
      <c r="C256">
        <v>86</v>
      </c>
      <c r="D256">
        <v>1995</v>
      </c>
      <c r="E256">
        <v>147.5102</v>
      </c>
      <c r="F256">
        <v>160.1772</v>
      </c>
      <c r="G256">
        <v>41</v>
      </c>
      <c r="H256">
        <v>1681</v>
      </c>
      <c r="I256">
        <v>4426000</v>
      </c>
      <c r="J256">
        <v>708.94439999999997</v>
      </c>
      <c r="K256">
        <v>4</v>
      </c>
      <c r="L256">
        <v>4</v>
      </c>
      <c r="M256">
        <v>8</v>
      </c>
      <c r="N256">
        <v>-0.46</v>
      </c>
      <c r="O256">
        <v>-0.21</v>
      </c>
      <c r="P256">
        <v>782.92269999999996</v>
      </c>
      <c r="Q256">
        <v>3097</v>
      </c>
      <c r="R256">
        <v>9591409</v>
      </c>
      <c r="S256">
        <v>4.4260000000000002</v>
      </c>
      <c r="T256">
        <v>19.589479999999998</v>
      </c>
      <c r="U256">
        <v>1.0858719999999999</v>
      </c>
      <c r="V256">
        <v>1</v>
      </c>
      <c r="W256">
        <v>0</v>
      </c>
      <c r="X256">
        <v>0</v>
      </c>
    </row>
    <row r="257" spans="1:24">
      <c r="A257">
        <v>87</v>
      </c>
      <c r="B257" t="s">
        <v>1083</v>
      </c>
      <c r="C257">
        <v>86</v>
      </c>
      <c r="D257">
        <v>2000</v>
      </c>
      <c r="E257">
        <v>110.73560000000001</v>
      </c>
      <c r="F257">
        <v>110.73560000000001</v>
      </c>
      <c r="G257">
        <v>34</v>
      </c>
      <c r="H257">
        <v>1156</v>
      </c>
      <c r="I257">
        <v>5071000</v>
      </c>
      <c r="J257">
        <v>561.54020000000003</v>
      </c>
      <c r="K257">
        <v>3</v>
      </c>
      <c r="L257">
        <v>3</v>
      </c>
      <c r="M257">
        <v>6</v>
      </c>
      <c r="N257">
        <v>-0.71</v>
      </c>
      <c r="O257">
        <v>0.32</v>
      </c>
      <c r="P257">
        <v>778.8365</v>
      </c>
      <c r="Q257">
        <v>3221</v>
      </c>
      <c r="R257">
        <v>10374841</v>
      </c>
      <c r="S257">
        <v>5.0709999999999997</v>
      </c>
      <c r="T257">
        <v>25.715039999999998</v>
      </c>
      <c r="U257">
        <v>1</v>
      </c>
      <c r="V257">
        <v>0</v>
      </c>
      <c r="W257">
        <v>1</v>
      </c>
      <c r="X257">
        <v>0</v>
      </c>
    </row>
    <row r="258" spans="1:24">
      <c r="A258">
        <v>87</v>
      </c>
      <c r="B258" t="s">
        <v>1083</v>
      </c>
      <c r="C258">
        <v>86</v>
      </c>
      <c r="D258">
        <v>2003</v>
      </c>
      <c r="E258">
        <v>152.04929999999999</v>
      </c>
      <c r="F258">
        <v>143.6395</v>
      </c>
      <c r="G258">
        <v>30</v>
      </c>
      <c r="H258">
        <v>900</v>
      </c>
      <c r="I258">
        <v>5480000</v>
      </c>
      <c r="J258">
        <v>787.14449999999999</v>
      </c>
      <c r="K258">
        <v>3</v>
      </c>
      <c r="L258">
        <v>3</v>
      </c>
      <c r="M258">
        <v>6</v>
      </c>
      <c r="N258">
        <v>-0.78</v>
      </c>
      <c r="O258">
        <v>-0.28000000000000003</v>
      </c>
      <c r="P258">
        <v>712.85900000000004</v>
      </c>
      <c r="Q258">
        <v>3090</v>
      </c>
      <c r="R258">
        <v>9548100</v>
      </c>
      <c r="S258">
        <v>5.48</v>
      </c>
      <c r="T258">
        <v>30.0304</v>
      </c>
      <c r="U258">
        <v>0.94469000000000003</v>
      </c>
      <c r="V258">
        <v>0</v>
      </c>
      <c r="W258">
        <v>0</v>
      </c>
      <c r="X258">
        <v>1</v>
      </c>
    </row>
    <row r="259" spans="1:24">
      <c r="A259">
        <v>88</v>
      </c>
      <c r="B259" t="s">
        <v>1084</v>
      </c>
      <c r="C259">
        <v>87</v>
      </c>
      <c r="D259">
        <v>1995</v>
      </c>
      <c r="E259">
        <v>30.36299</v>
      </c>
      <c r="F259">
        <v>32.970329999999997</v>
      </c>
      <c r="G259">
        <v>176</v>
      </c>
      <c r="H259">
        <v>30976</v>
      </c>
      <c r="I259">
        <v>9036000</v>
      </c>
      <c r="J259">
        <v>297.91989999999998</v>
      </c>
      <c r="K259">
        <v>5</v>
      </c>
      <c r="L259">
        <v>3</v>
      </c>
      <c r="M259">
        <v>8</v>
      </c>
      <c r="N259">
        <v>-0.82</v>
      </c>
      <c r="O259">
        <v>-0.84</v>
      </c>
      <c r="P259">
        <v>226.0187</v>
      </c>
      <c r="Q259">
        <v>787</v>
      </c>
      <c r="R259">
        <v>619369</v>
      </c>
      <c r="S259">
        <v>9.0359999999999996</v>
      </c>
      <c r="T259">
        <v>81.649299999999997</v>
      </c>
      <c r="U259">
        <v>1.0858719999999999</v>
      </c>
      <c r="V259">
        <v>1</v>
      </c>
      <c r="W259">
        <v>0</v>
      </c>
      <c r="X259">
        <v>0</v>
      </c>
    </row>
    <row r="260" spans="1:24">
      <c r="A260">
        <v>88</v>
      </c>
      <c r="B260" t="s">
        <v>1084</v>
      </c>
      <c r="C260">
        <v>87</v>
      </c>
      <c r="D260">
        <v>2000</v>
      </c>
      <c r="E260">
        <v>19.6388</v>
      </c>
      <c r="F260">
        <v>19.6388</v>
      </c>
      <c r="G260">
        <v>159</v>
      </c>
      <c r="H260">
        <v>25281</v>
      </c>
      <c r="I260">
        <v>10742000</v>
      </c>
      <c r="J260">
        <v>210.96</v>
      </c>
      <c r="K260">
        <v>4</v>
      </c>
      <c r="L260">
        <v>4</v>
      </c>
      <c r="M260">
        <v>8</v>
      </c>
      <c r="N260">
        <v>-1.04</v>
      </c>
      <c r="O260">
        <v>-0.26</v>
      </c>
      <c r="P260">
        <v>167.4144</v>
      </c>
      <c r="Q260">
        <v>748</v>
      </c>
      <c r="R260">
        <v>559504</v>
      </c>
      <c r="S260">
        <v>10.742000000000001</v>
      </c>
      <c r="T260">
        <v>115.39060000000001</v>
      </c>
      <c r="U260">
        <v>1</v>
      </c>
      <c r="V260">
        <v>0</v>
      </c>
      <c r="W260">
        <v>1</v>
      </c>
      <c r="X260">
        <v>0</v>
      </c>
    </row>
    <row r="261" spans="1:24">
      <c r="A261">
        <v>88</v>
      </c>
      <c r="B261" t="s">
        <v>1084</v>
      </c>
      <c r="C261">
        <v>87</v>
      </c>
      <c r="D261">
        <v>2003</v>
      </c>
      <c r="E261">
        <v>38.538539999999998</v>
      </c>
      <c r="F261">
        <v>36.406979999999997</v>
      </c>
      <c r="G261">
        <v>154</v>
      </c>
      <c r="H261">
        <v>23716</v>
      </c>
      <c r="I261">
        <v>11762250</v>
      </c>
      <c r="J261">
        <v>428.21899999999999</v>
      </c>
      <c r="K261">
        <v>4</v>
      </c>
      <c r="L261">
        <v>4</v>
      </c>
      <c r="M261">
        <v>8</v>
      </c>
      <c r="N261">
        <v>-0.85</v>
      </c>
      <c r="O261">
        <v>-0.64</v>
      </c>
      <c r="P261">
        <v>219.375</v>
      </c>
      <c r="Q261">
        <v>790</v>
      </c>
      <c r="R261">
        <v>624100</v>
      </c>
      <c r="S261">
        <v>11.762</v>
      </c>
      <c r="T261">
        <v>138.34460000000001</v>
      </c>
      <c r="U261">
        <v>0.94469000000000003</v>
      </c>
      <c r="V261">
        <v>0</v>
      </c>
      <c r="W261">
        <v>0</v>
      </c>
      <c r="X261">
        <v>1</v>
      </c>
    </row>
    <row r="262" spans="1:24">
      <c r="A262">
        <v>89</v>
      </c>
      <c r="B262" t="s">
        <v>1085</v>
      </c>
      <c r="C262">
        <v>88</v>
      </c>
      <c r="D262">
        <v>1995</v>
      </c>
      <c r="E262">
        <v>1.904377</v>
      </c>
      <c r="F262">
        <v>2.0679099999999999</v>
      </c>
      <c r="G262">
        <v>120</v>
      </c>
      <c r="H262">
        <v>14400</v>
      </c>
      <c r="I262">
        <v>111270000</v>
      </c>
      <c r="J262">
        <v>230.09639999999999</v>
      </c>
      <c r="K262">
        <v>7</v>
      </c>
      <c r="L262">
        <v>7</v>
      </c>
      <c r="M262">
        <v>14</v>
      </c>
      <c r="N262">
        <v>-1.22</v>
      </c>
      <c r="O262">
        <v>-0.97</v>
      </c>
      <c r="P262">
        <v>274.31110000000001</v>
      </c>
      <c r="Q262">
        <v>848</v>
      </c>
      <c r="R262">
        <v>719104</v>
      </c>
      <c r="S262">
        <v>111.27</v>
      </c>
      <c r="T262">
        <v>12381.01</v>
      </c>
      <c r="U262">
        <v>1.0858719999999999</v>
      </c>
      <c r="V262">
        <v>1</v>
      </c>
      <c r="W262">
        <v>0</v>
      </c>
      <c r="X262">
        <v>0</v>
      </c>
    </row>
    <row r="263" spans="1:24">
      <c r="A263">
        <v>89</v>
      </c>
      <c r="B263" t="s">
        <v>1085</v>
      </c>
      <c r="C263">
        <v>88</v>
      </c>
      <c r="D263">
        <v>2000</v>
      </c>
      <c r="E263">
        <v>1.456386</v>
      </c>
      <c r="F263">
        <v>1.456386</v>
      </c>
      <c r="G263">
        <v>102</v>
      </c>
      <c r="H263">
        <v>10404</v>
      </c>
      <c r="I263">
        <v>126910000</v>
      </c>
      <c r="J263">
        <v>184.82990000000001</v>
      </c>
      <c r="K263">
        <v>4</v>
      </c>
      <c r="L263">
        <v>4</v>
      </c>
      <c r="M263">
        <v>8</v>
      </c>
      <c r="N263">
        <v>-1.04</v>
      </c>
      <c r="O263">
        <v>-0.38</v>
      </c>
      <c r="P263">
        <v>331.55889999999999</v>
      </c>
      <c r="Q263">
        <v>878</v>
      </c>
      <c r="R263">
        <v>770884</v>
      </c>
      <c r="S263">
        <v>126.91</v>
      </c>
      <c r="T263">
        <v>16106.15</v>
      </c>
      <c r="U263">
        <v>1</v>
      </c>
      <c r="V263">
        <v>0</v>
      </c>
      <c r="W263">
        <v>1</v>
      </c>
      <c r="X263">
        <v>0</v>
      </c>
    </row>
    <row r="264" spans="1:24">
      <c r="A264">
        <v>89</v>
      </c>
      <c r="B264" t="s">
        <v>1085</v>
      </c>
      <c r="C264">
        <v>88</v>
      </c>
      <c r="D264">
        <v>2003</v>
      </c>
      <c r="E264">
        <v>2.3273320000000002</v>
      </c>
      <c r="F264">
        <v>2.1986080000000001</v>
      </c>
      <c r="G264">
        <v>98</v>
      </c>
      <c r="H264">
        <v>9604</v>
      </c>
      <c r="I264">
        <v>136461000</v>
      </c>
      <c r="J264">
        <v>300.02420000000001</v>
      </c>
      <c r="K264">
        <v>4</v>
      </c>
      <c r="L264">
        <v>4</v>
      </c>
      <c r="M264">
        <v>8</v>
      </c>
      <c r="N264">
        <v>-1.07</v>
      </c>
      <c r="O264">
        <v>-1.22</v>
      </c>
      <c r="P264">
        <v>398.90280000000001</v>
      </c>
      <c r="Q264">
        <v>987</v>
      </c>
      <c r="R264">
        <v>974169</v>
      </c>
      <c r="S264">
        <v>136.46100000000001</v>
      </c>
      <c r="T264">
        <v>18621.599999999999</v>
      </c>
      <c r="U264">
        <v>0.94469000000000003</v>
      </c>
      <c r="V264">
        <v>0</v>
      </c>
      <c r="W264">
        <v>0</v>
      </c>
      <c r="X264">
        <v>1</v>
      </c>
    </row>
    <row r="265" spans="1:24">
      <c r="A265">
        <v>90</v>
      </c>
      <c r="B265" t="s">
        <v>1086</v>
      </c>
      <c r="C265">
        <v>89</v>
      </c>
      <c r="D265">
        <v>1995</v>
      </c>
      <c r="E265">
        <v>27.480090000000001</v>
      </c>
      <c r="F265">
        <v>29.839870000000001</v>
      </c>
      <c r="G265">
        <v>15</v>
      </c>
      <c r="H265">
        <v>225</v>
      </c>
      <c r="I265">
        <v>2135000</v>
      </c>
      <c r="J265">
        <v>63.708109999999998</v>
      </c>
      <c r="K265">
        <v>6</v>
      </c>
      <c r="L265">
        <v>6</v>
      </c>
      <c r="M265">
        <v>12</v>
      </c>
      <c r="N265">
        <v>0.79</v>
      </c>
      <c r="O265">
        <v>0.61</v>
      </c>
      <c r="P265">
        <v>6155.1149999999998</v>
      </c>
      <c r="Q265">
        <v>11898</v>
      </c>
      <c r="R265" s="87">
        <v>142000000</v>
      </c>
      <c r="S265">
        <v>2.1349999999999998</v>
      </c>
      <c r="T265">
        <v>4.5582250000000002</v>
      </c>
      <c r="U265">
        <v>1.0858719999999999</v>
      </c>
      <c r="V265">
        <v>1</v>
      </c>
      <c r="W265">
        <v>0</v>
      </c>
      <c r="X265">
        <v>0</v>
      </c>
    </row>
    <row r="266" spans="1:24">
      <c r="A266">
        <v>90</v>
      </c>
      <c r="B266" t="s">
        <v>1086</v>
      </c>
      <c r="C266">
        <v>89</v>
      </c>
      <c r="D266">
        <v>2000</v>
      </c>
      <c r="E266">
        <v>18.933610000000002</v>
      </c>
      <c r="F266">
        <v>18.933610000000002</v>
      </c>
      <c r="G266">
        <v>12</v>
      </c>
      <c r="H266">
        <v>144</v>
      </c>
      <c r="I266">
        <v>2410000</v>
      </c>
      <c r="J266">
        <v>45.63</v>
      </c>
      <c r="K266">
        <v>5</v>
      </c>
      <c r="L266">
        <v>6</v>
      </c>
      <c r="M266">
        <v>11</v>
      </c>
      <c r="N266">
        <v>0.99</v>
      </c>
      <c r="O266">
        <v>0.79</v>
      </c>
      <c r="P266">
        <v>8243.7180000000008</v>
      </c>
      <c r="Q266">
        <v>12480</v>
      </c>
      <c r="R266" s="87">
        <v>156000000</v>
      </c>
      <c r="S266">
        <v>2.41</v>
      </c>
      <c r="T266">
        <v>5.8080999999999996</v>
      </c>
      <c r="U266">
        <v>1</v>
      </c>
      <c r="V266">
        <v>0</v>
      </c>
      <c r="W266">
        <v>1</v>
      </c>
      <c r="X266">
        <v>0</v>
      </c>
    </row>
    <row r="267" spans="1:24">
      <c r="A267">
        <v>90</v>
      </c>
      <c r="B267" t="s">
        <v>1086</v>
      </c>
      <c r="C267">
        <v>89</v>
      </c>
      <c r="D267">
        <v>2003</v>
      </c>
      <c r="E267">
        <v>17.126930000000002</v>
      </c>
      <c r="F267">
        <v>16.179639999999999</v>
      </c>
      <c r="G267">
        <v>10</v>
      </c>
      <c r="H267">
        <v>100</v>
      </c>
      <c r="I267">
        <v>2598832</v>
      </c>
      <c r="J267">
        <v>42.050899999999999</v>
      </c>
      <c r="K267">
        <v>5</v>
      </c>
      <c r="L267">
        <v>6</v>
      </c>
      <c r="M267">
        <v>11</v>
      </c>
      <c r="N267">
        <v>0.79</v>
      </c>
      <c r="O267">
        <v>0.53</v>
      </c>
      <c r="P267">
        <v>7887.46</v>
      </c>
      <c r="Q267">
        <v>13032</v>
      </c>
      <c r="R267" s="87">
        <v>170000000</v>
      </c>
      <c r="S267">
        <v>2.5990000000000002</v>
      </c>
      <c r="T267">
        <v>6.7548009999999996</v>
      </c>
      <c r="U267">
        <v>0.94469000000000003</v>
      </c>
      <c r="V267">
        <v>0</v>
      </c>
      <c r="W267">
        <v>0</v>
      </c>
      <c r="X267">
        <v>1</v>
      </c>
    </row>
    <row r="268" spans="1:24">
      <c r="A268">
        <v>91</v>
      </c>
      <c r="B268" t="s">
        <v>167</v>
      </c>
      <c r="C268">
        <v>90</v>
      </c>
      <c r="D268">
        <v>1995</v>
      </c>
      <c r="E268">
        <v>6.7315240000000003</v>
      </c>
      <c r="F268">
        <v>7.3095749999999997</v>
      </c>
      <c r="G268">
        <v>90</v>
      </c>
      <c r="H268">
        <v>8100</v>
      </c>
      <c r="I268">
        <v>122375000</v>
      </c>
      <c r="J268">
        <v>894.50919999999996</v>
      </c>
      <c r="K268">
        <v>5</v>
      </c>
      <c r="L268">
        <v>3</v>
      </c>
      <c r="M268">
        <v>8</v>
      </c>
      <c r="N268">
        <v>-0.4</v>
      </c>
      <c r="O268">
        <v>-0.56999999999999995</v>
      </c>
      <c r="P268">
        <v>538.04309999999998</v>
      </c>
      <c r="Q268">
        <v>1789</v>
      </c>
      <c r="R268">
        <v>3200521</v>
      </c>
      <c r="S268">
        <v>122.375</v>
      </c>
      <c r="T268">
        <v>14975.64</v>
      </c>
      <c r="U268">
        <v>1.0858719999999999</v>
      </c>
      <c r="V268">
        <v>1</v>
      </c>
      <c r="W268">
        <v>0</v>
      </c>
      <c r="X268">
        <v>0</v>
      </c>
    </row>
    <row r="269" spans="1:24">
      <c r="A269">
        <v>91</v>
      </c>
      <c r="B269" t="s">
        <v>167</v>
      </c>
      <c r="C269">
        <v>90</v>
      </c>
      <c r="D269">
        <v>2000</v>
      </c>
      <c r="E269">
        <v>5.0895859999999997</v>
      </c>
      <c r="F269">
        <v>5.0895859999999997</v>
      </c>
      <c r="G269">
        <v>81</v>
      </c>
      <c r="H269">
        <v>6561</v>
      </c>
      <c r="I269">
        <v>138080000</v>
      </c>
      <c r="J269">
        <v>702.77</v>
      </c>
      <c r="K269">
        <v>5</v>
      </c>
      <c r="L269">
        <v>6</v>
      </c>
      <c r="M269">
        <v>11</v>
      </c>
      <c r="N269">
        <v>-0.54</v>
      </c>
      <c r="O269">
        <v>-0.57999999999999996</v>
      </c>
      <c r="P269">
        <v>531.00379999999996</v>
      </c>
      <c r="Q269">
        <v>1925</v>
      </c>
      <c r="R269">
        <v>3705625</v>
      </c>
      <c r="S269">
        <v>138.08000000000001</v>
      </c>
      <c r="T269">
        <v>19066.09</v>
      </c>
      <c r="U269">
        <v>1</v>
      </c>
      <c r="V269">
        <v>0</v>
      </c>
      <c r="W269">
        <v>1</v>
      </c>
      <c r="X269">
        <v>0</v>
      </c>
    </row>
    <row r="270" spans="1:24">
      <c r="A270">
        <v>91</v>
      </c>
      <c r="B270" t="s">
        <v>167</v>
      </c>
      <c r="C270">
        <v>90</v>
      </c>
      <c r="D270">
        <v>2003</v>
      </c>
      <c r="E270">
        <v>7.1973789999999997</v>
      </c>
      <c r="F270">
        <v>6.7992939999999997</v>
      </c>
      <c r="G270">
        <v>74</v>
      </c>
      <c r="H270">
        <v>5476</v>
      </c>
      <c r="I270">
        <v>148438800</v>
      </c>
      <c r="J270">
        <v>1009.28</v>
      </c>
      <c r="K270">
        <v>5</v>
      </c>
      <c r="L270">
        <v>6</v>
      </c>
      <c r="M270">
        <v>11</v>
      </c>
      <c r="N270">
        <v>-0.55000000000000004</v>
      </c>
      <c r="O270">
        <v>-0.91</v>
      </c>
      <c r="P270">
        <v>524.08929999999998</v>
      </c>
      <c r="Q270">
        <v>1977</v>
      </c>
      <c r="R270">
        <v>3908529</v>
      </c>
      <c r="S270">
        <v>148.43899999999999</v>
      </c>
      <c r="T270">
        <v>22034.14</v>
      </c>
      <c r="U270">
        <v>0.94469000000000003</v>
      </c>
      <c r="V270">
        <v>0</v>
      </c>
      <c r="W270">
        <v>0</v>
      </c>
      <c r="X270">
        <v>1</v>
      </c>
    </row>
    <row r="271" spans="1:24">
      <c r="A271">
        <v>92</v>
      </c>
      <c r="B271" t="s">
        <v>1087</v>
      </c>
      <c r="C271">
        <v>91</v>
      </c>
      <c r="D271">
        <v>1995</v>
      </c>
      <c r="E271">
        <v>15.146330000000001</v>
      </c>
      <c r="F271">
        <v>16.44698</v>
      </c>
      <c r="G271">
        <v>23</v>
      </c>
      <c r="H271">
        <v>529</v>
      </c>
      <c r="I271">
        <v>2631000</v>
      </c>
      <c r="J271">
        <v>43.271999999999998</v>
      </c>
      <c r="K271">
        <v>3</v>
      </c>
      <c r="L271">
        <v>2</v>
      </c>
      <c r="M271">
        <v>5</v>
      </c>
      <c r="N271">
        <v>-0.55000000000000004</v>
      </c>
      <c r="O271">
        <v>0.65</v>
      </c>
      <c r="P271">
        <v>3263.0230000000001</v>
      </c>
      <c r="Q271">
        <v>5370</v>
      </c>
      <c r="R271">
        <v>28836900</v>
      </c>
      <c r="S271">
        <v>2.6309999999999998</v>
      </c>
      <c r="T271">
        <v>6.922161</v>
      </c>
      <c r="U271">
        <v>1.0858719999999999</v>
      </c>
      <c r="V271">
        <v>1</v>
      </c>
      <c r="W271">
        <v>0</v>
      </c>
      <c r="X271">
        <v>0</v>
      </c>
    </row>
    <row r="272" spans="1:24">
      <c r="A272">
        <v>92</v>
      </c>
      <c r="B272" t="s">
        <v>1087</v>
      </c>
      <c r="C272">
        <v>91</v>
      </c>
      <c r="D272">
        <v>2000</v>
      </c>
      <c r="E272">
        <v>5.7813600000000003</v>
      </c>
      <c r="F272">
        <v>5.7813600000000003</v>
      </c>
      <c r="G272">
        <v>20</v>
      </c>
      <c r="H272">
        <v>400</v>
      </c>
      <c r="I272">
        <v>2854000</v>
      </c>
      <c r="J272">
        <v>16.5</v>
      </c>
      <c r="K272">
        <v>2</v>
      </c>
      <c r="L272">
        <v>1</v>
      </c>
      <c r="M272">
        <v>3</v>
      </c>
      <c r="N272">
        <v>-0.03</v>
      </c>
      <c r="O272">
        <v>1</v>
      </c>
      <c r="P272">
        <v>4071.654</v>
      </c>
      <c r="Q272">
        <v>6252</v>
      </c>
      <c r="R272">
        <v>39087504</v>
      </c>
      <c r="S272">
        <v>2.8540000000000001</v>
      </c>
      <c r="T272">
        <v>8.1453159999999993</v>
      </c>
      <c r="U272">
        <v>1</v>
      </c>
      <c r="V272">
        <v>0</v>
      </c>
      <c r="W272">
        <v>1</v>
      </c>
      <c r="X272">
        <v>0</v>
      </c>
    </row>
    <row r="273" spans="1:24">
      <c r="A273">
        <v>92</v>
      </c>
      <c r="B273" t="s">
        <v>1087</v>
      </c>
      <c r="C273">
        <v>91</v>
      </c>
      <c r="D273">
        <v>2003</v>
      </c>
      <c r="E273">
        <v>10.217750000000001</v>
      </c>
      <c r="F273">
        <v>9.652609</v>
      </c>
      <c r="G273">
        <v>18</v>
      </c>
      <c r="H273">
        <v>324</v>
      </c>
      <c r="I273">
        <v>2984022</v>
      </c>
      <c r="J273">
        <v>28.80339</v>
      </c>
      <c r="K273">
        <v>2</v>
      </c>
      <c r="L273">
        <v>1</v>
      </c>
      <c r="M273">
        <v>3</v>
      </c>
      <c r="N273">
        <v>-0.05</v>
      </c>
      <c r="O273">
        <v>0.35</v>
      </c>
      <c r="P273">
        <v>4071.8890000000001</v>
      </c>
      <c r="Q273">
        <v>6489</v>
      </c>
      <c r="R273">
        <v>42107121</v>
      </c>
      <c r="S273">
        <v>2.984</v>
      </c>
      <c r="T273">
        <v>8.9042560000000002</v>
      </c>
      <c r="U273">
        <v>0.94469000000000003</v>
      </c>
      <c r="V273">
        <v>0</v>
      </c>
      <c r="W273">
        <v>0</v>
      </c>
      <c r="X273">
        <v>1</v>
      </c>
    </row>
    <row r="274" spans="1:24">
      <c r="A274">
        <v>93</v>
      </c>
      <c r="B274" t="s">
        <v>1088</v>
      </c>
      <c r="C274">
        <v>92</v>
      </c>
      <c r="D274">
        <v>1995</v>
      </c>
      <c r="E274">
        <v>82.088489999999993</v>
      </c>
      <c r="F274">
        <v>89.137609999999995</v>
      </c>
      <c r="G274">
        <v>72</v>
      </c>
      <c r="H274">
        <v>5184</v>
      </c>
      <c r="I274">
        <v>4520000</v>
      </c>
      <c r="J274">
        <v>402.90199999999999</v>
      </c>
      <c r="K274">
        <v>4</v>
      </c>
      <c r="L274">
        <v>2</v>
      </c>
      <c r="M274">
        <v>6</v>
      </c>
      <c r="N274">
        <v>-0.41</v>
      </c>
      <c r="O274">
        <v>-0.78</v>
      </c>
      <c r="P274">
        <v>1105.3389999999999</v>
      </c>
      <c r="Q274">
        <v>2533</v>
      </c>
      <c r="R274">
        <v>6416089</v>
      </c>
      <c r="S274">
        <v>4.5199999999999996</v>
      </c>
      <c r="T274">
        <v>20.430399999999999</v>
      </c>
      <c r="U274">
        <v>1.0858719999999999</v>
      </c>
      <c r="V274">
        <v>1</v>
      </c>
      <c r="W274">
        <v>0</v>
      </c>
      <c r="X274">
        <v>0</v>
      </c>
    </row>
    <row r="275" spans="1:24">
      <c r="A275">
        <v>93</v>
      </c>
      <c r="B275" t="s">
        <v>1088</v>
      </c>
      <c r="C275">
        <v>92</v>
      </c>
      <c r="D275">
        <v>2000</v>
      </c>
      <c r="E275">
        <v>53.690060000000003</v>
      </c>
      <c r="F275">
        <v>53.690060000000003</v>
      </c>
      <c r="G275">
        <v>70</v>
      </c>
      <c r="H275">
        <v>4900</v>
      </c>
      <c r="I275">
        <v>5130000</v>
      </c>
      <c r="J275">
        <v>275.43</v>
      </c>
      <c r="K275">
        <v>3</v>
      </c>
      <c r="L275">
        <v>2</v>
      </c>
      <c r="M275">
        <v>5</v>
      </c>
      <c r="N275">
        <v>-0.68</v>
      </c>
      <c r="O275">
        <v>-0.61</v>
      </c>
      <c r="P275">
        <v>666.65790000000004</v>
      </c>
      <c r="Q275">
        <v>2369</v>
      </c>
      <c r="R275">
        <v>5612161</v>
      </c>
      <c r="S275">
        <v>5.13</v>
      </c>
      <c r="T275">
        <v>26.3169</v>
      </c>
      <c r="U275">
        <v>1</v>
      </c>
      <c r="V275">
        <v>0</v>
      </c>
      <c r="W275">
        <v>1</v>
      </c>
      <c r="X275">
        <v>0</v>
      </c>
    </row>
    <row r="276" spans="1:24">
      <c r="A276">
        <v>93</v>
      </c>
      <c r="B276" t="s">
        <v>1088</v>
      </c>
      <c r="C276">
        <v>92</v>
      </c>
      <c r="D276">
        <v>2003</v>
      </c>
      <c r="E276">
        <v>40.12453</v>
      </c>
      <c r="F276">
        <v>37.905250000000002</v>
      </c>
      <c r="G276">
        <v>69</v>
      </c>
      <c r="H276">
        <v>4761</v>
      </c>
      <c r="I276">
        <v>5501871</v>
      </c>
      <c r="J276">
        <v>208.5547</v>
      </c>
      <c r="K276">
        <v>3</v>
      </c>
      <c r="L276">
        <v>3</v>
      </c>
      <c r="M276">
        <v>6</v>
      </c>
      <c r="N276">
        <v>-0.89</v>
      </c>
      <c r="O276">
        <v>-0.55000000000000004</v>
      </c>
      <c r="P276">
        <v>588.03679999999997</v>
      </c>
      <c r="Q276">
        <v>2456</v>
      </c>
      <c r="R276">
        <v>6031936</v>
      </c>
      <c r="S276">
        <v>5.5019999999999998</v>
      </c>
      <c r="T276">
        <v>30.271999999999998</v>
      </c>
      <c r="U276">
        <v>0.94469000000000003</v>
      </c>
      <c r="V276">
        <v>0</v>
      </c>
      <c r="W276">
        <v>0</v>
      </c>
      <c r="X276">
        <v>1</v>
      </c>
    </row>
    <row r="277" spans="1:24">
      <c r="A277">
        <v>94</v>
      </c>
      <c r="B277" t="s">
        <v>262</v>
      </c>
      <c r="C277">
        <v>93</v>
      </c>
      <c r="D277">
        <v>1995</v>
      </c>
      <c r="E277">
        <v>29.704129999999999</v>
      </c>
      <c r="F277">
        <v>32.254890000000003</v>
      </c>
      <c r="G277">
        <v>28</v>
      </c>
      <c r="H277">
        <v>784</v>
      </c>
      <c r="I277">
        <v>4698000</v>
      </c>
      <c r="J277">
        <v>151.5335</v>
      </c>
      <c r="K277">
        <v>3</v>
      </c>
      <c r="L277">
        <v>4</v>
      </c>
      <c r="M277">
        <v>7</v>
      </c>
      <c r="N277">
        <v>-0.69</v>
      </c>
      <c r="O277">
        <v>0.57999999999999996</v>
      </c>
      <c r="P277">
        <v>2083.9360000000001</v>
      </c>
      <c r="Q277">
        <v>4998</v>
      </c>
      <c r="R277">
        <v>24980004</v>
      </c>
      <c r="S277">
        <v>4.6980000000000004</v>
      </c>
      <c r="T277">
        <v>22.071200000000001</v>
      </c>
      <c r="U277">
        <v>1.0858719999999999</v>
      </c>
      <c r="V277">
        <v>1</v>
      </c>
      <c r="W277">
        <v>0</v>
      </c>
      <c r="X277">
        <v>0</v>
      </c>
    </row>
    <row r="278" spans="1:24">
      <c r="A278">
        <v>94</v>
      </c>
      <c r="B278" t="s">
        <v>262</v>
      </c>
      <c r="C278">
        <v>93</v>
      </c>
      <c r="D278">
        <v>2000</v>
      </c>
      <c r="E278">
        <v>15.51803</v>
      </c>
      <c r="F278">
        <v>15.51803</v>
      </c>
      <c r="G278">
        <v>26</v>
      </c>
      <c r="H278">
        <v>676</v>
      </c>
      <c r="I278">
        <v>5270000</v>
      </c>
      <c r="J278">
        <v>81.780019999999993</v>
      </c>
      <c r="K278">
        <v>3</v>
      </c>
      <c r="L278">
        <v>4</v>
      </c>
      <c r="M278">
        <v>7</v>
      </c>
      <c r="N278">
        <v>-1.27</v>
      </c>
      <c r="O278">
        <v>-0.79</v>
      </c>
      <c r="P278">
        <v>1465.222</v>
      </c>
      <c r="Q278">
        <v>4674</v>
      </c>
      <c r="R278">
        <v>21846276</v>
      </c>
      <c r="S278">
        <v>5.27</v>
      </c>
      <c r="T278">
        <v>27.7729</v>
      </c>
      <c r="U278">
        <v>1</v>
      </c>
      <c r="V278">
        <v>0</v>
      </c>
      <c r="W278">
        <v>1</v>
      </c>
      <c r="X278">
        <v>0</v>
      </c>
    </row>
    <row r="279" spans="1:24">
      <c r="A279">
        <v>94</v>
      </c>
      <c r="B279" t="s">
        <v>262</v>
      </c>
      <c r="C279">
        <v>93</v>
      </c>
      <c r="D279">
        <v>2003</v>
      </c>
      <c r="E279">
        <v>8.9862000000000002</v>
      </c>
      <c r="F279">
        <v>8.4891760000000005</v>
      </c>
      <c r="G279">
        <v>25</v>
      </c>
      <c r="H279">
        <v>625</v>
      </c>
      <c r="I279">
        <v>5643097</v>
      </c>
      <c r="J279">
        <v>47.904420000000002</v>
      </c>
      <c r="K279">
        <v>3</v>
      </c>
      <c r="L279">
        <v>3</v>
      </c>
      <c r="M279">
        <v>6</v>
      </c>
      <c r="N279">
        <v>-1.1599999999999999</v>
      </c>
      <c r="O279">
        <v>-0.57999999999999996</v>
      </c>
      <c r="P279">
        <v>1009.431</v>
      </c>
      <c r="Q279">
        <v>4483</v>
      </c>
      <c r="R279">
        <v>20097289</v>
      </c>
      <c r="S279">
        <v>5.6429999999999998</v>
      </c>
      <c r="T279">
        <v>31.843450000000001</v>
      </c>
      <c r="U279">
        <v>0.94469000000000003</v>
      </c>
      <c r="V279">
        <v>0</v>
      </c>
      <c r="W279">
        <v>0</v>
      </c>
      <c r="X279">
        <v>1</v>
      </c>
    </row>
    <row r="280" spans="1:24">
      <c r="A280">
        <v>95</v>
      </c>
      <c r="B280" t="s">
        <v>264</v>
      </c>
      <c r="C280">
        <v>94</v>
      </c>
      <c r="D280">
        <v>1995</v>
      </c>
      <c r="E280">
        <v>15.64165</v>
      </c>
      <c r="F280">
        <v>16.984829999999999</v>
      </c>
      <c r="G280">
        <v>46</v>
      </c>
      <c r="H280">
        <v>2116</v>
      </c>
      <c r="I280">
        <v>23837000</v>
      </c>
      <c r="J280">
        <v>404.86750000000001</v>
      </c>
      <c r="K280">
        <v>4</v>
      </c>
      <c r="L280">
        <v>5</v>
      </c>
      <c r="M280">
        <v>9</v>
      </c>
      <c r="N280">
        <v>-0.18</v>
      </c>
      <c r="O280">
        <v>0.65</v>
      </c>
      <c r="P280">
        <v>2443.6669999999999</v>
      </c>
      <c r="Q280">
        <v>4590</v>
      </c>
      <c r="R280">
        <v>21068100</v>
      </c>
      <c r="S280">
        <v>23.837</v>
      </c>
      <c r="T280">
        <v>568.20259999999996</v>
      </c>
      <c r="U280">
        <v>1.0858719999999999</v>
      </c>
      <c r="V280">
        <v>1</v>
      </c>
      <c r="W280">
        <v>0</v>
      </c>
      <c r="X280">
        <v>0</v>
      </c>
    </row>
    <row r="281" spans="1:24">
      <c r="A281">
        <v>95</v>
      </c>
      <c r="B281" t="s">
        <v>264</v>
      </c>
      <c r="C281">
        <v>94</v>
      </c>
      <c r="D281">
        <v>2000</v>
      </c>
      <c r="E281">
        <v>15.464740000000001</v>
      </c>
      <c r="F281">
        <v>15.464740000000001</v>
      </c>
      <c r="G281">
        <v>32</v>
      </c>
      <c r="H281">
        <v>1024</v>
      </c>
      <c r="I281">
        <v>25939000</v>
      </c>
      <c r="J281">
        <v>401.13990000000001</v>
      </c>
      <c r="K281">
        <v>3</v>
      </c>
      <c r="L281">
        <v>3</v>
      </c>
      <c r="M281">
        <v>6</v>
      </c>
      <c r="N281">
        <v>-0.27</v>
      </c>
      <c r="O281">
        <v>0.59</v>
      </c>
      <c r="P281">
        <v>2046.558</v>
      </c>
      <c r="Q281">
        <v>4733</v>
      </c>
      <c r="R281">
        <v>22401289</v>
      </c>
      <c r="S281">
        <v>25.939</v>
      </c>
      <c r="T281">
        <v>672.83169999999996</v>
      </c>
      <c r="U281">
        <v>1</v>
      </c>
      <c r="V281">
        <v>0</v>
      </c>
      <c r="W281">
        <v>1</v>
      </c>
      <c r="X281">
        <v>0</v>
      </c>
    </row>
    <row r="282" spans="1:24">
      <c r="A282">
        <v>95</v>
      </c>
      <c r="B282" t="s">
        <v>264</v>
      </c>
      <c r="C282">
        <v>94</v>
      </c>
      <c r="D282">
        <v>2003</v>
      </c>
      <c r="E282">
        <v>18.426400000000001</v>
      </c>
      <c r="F282">
        <v>17.407240000000002</v>
      </c>
      <c r="G282">
        <v>26</v>
      </c>
      <c r="H282">
        <v>676</v>
      </c>
      <c r="I282">
        <v>27148000</v>
      </c>
      <c r="J282">
        <v>472.5718</v>
      </c>
      <c r="K282">
        <v>3</v>
      </c>
      <c r="L282">
        <v>2</v>
      </c>
      <c r="M282">
        <v>5</v>
      </c>
      <c r="N282">
        <v>-0.52</v>
      </c>
      <c r="O282">
        <v>0.18</v>
      </c>
      <c r="P282">
        <v>2107.9450000000002</v>
      </c>
      <c r="Q282">
        <v>4969</v>
      </c>
      <c r="R282">
        <v>24690961</v>
      </c>
      <c r="S282">
        <v>27.148</v>
      </c>
      <c r="T282">
        <v>737.01390000000004</v>
      </c>
      <c r="U282">
        <v>0.94469000000000003</v>
      </c>
      <c r="V282">
        <v>0</v>
      </c>
      <c r="W282">
        <v>0</v>
      </c>
      <c r="X282">
        <v>1</v>
      </c>
    </row>
    <row r="283" spans="1:24">
      <c r="A283">
        <v>96</v>
      </c>
      <c r="B283" t="s">
        <v>265</v>
      </c>
      <c r="C283">
        <v>95</v>
      </c>
      <c r="D283">
        <v>1995</v>
      </c>
      <c r="E283">
        <v>13.25529</v>
      </c>
      <c r="F283">
        <v>14.393549999999999</v>
      </c>
      <c r="G283">
        <v>36</v>
      </c>
      <c r="H283">
        <v>1296</v>
      </c>
      <c r="I283">
        <v>68341000</v>
      </c>
      <c r="J283">
        <v>983.66970000000003</v>
      </c>
      <c r="K283">
        <v>4</v>
      </c>
      <c r="L283">
        <v>2</v>
      </c>
      <c r="M283">
        <v>6</v>
      </c>
      <c r="N283">
        <v>0.19</v>
      </c>
      <c r="O283">
        <v>0.45</v>
      </c>
      <c r="P283">
        <v>1177.693</v>
      </c>
      <c r="Q283">
        <v>3737</v>
      </c>
      <c r="R283">
        <v>13965169</v>
      </c>
      <c r="S283">
        <v>68.340999999999994</v>
      </c>
      <c r="T283">
        <v>4670.4920000000002</v>
      </c>
      <c r="U283">
        <v>1.0858719999999999</v>
      </c>
      <c r="V283">
        <v>1</v>
      </c>
      <c r="W283">
        <v>0</v>
      </c>
      <c r="X283">
        <v>0</v>
      </c>
    </row>
    <row r="284" spans="1:24">
      <c r="A284">
        <v>96</v>
      </c>
      <c r="B284" t="s">
        <v>265</v>
      </c>
      <c r="C284">
        <v>95</v>
      </c>
      <c r="D284">
        <v>2000</v>
      </c>
      <c r="E284">
        <v>7.5368190000000004</v>
      </c>
      <c r="F284">
        <v>7.5368190000000004</v>
      </c>
      <c r="G284">
        <v>30</v>
      </c>
      <c r="H284">
        <v>900</v>
      </c>
      <c r="I284">
        <v>76626500</v>
      </c>
      <c r="J284">
        <v>577.52380000000005</v>
      </c>
      <c r="K284">
        <v>3</v>
      </c>
      <c r="L284">
        <v>2</v>
      </c>
      <c r="M284">
        <v>5</v>
      </c>
      <c r="N284">
        <v>0.08</v>
      </c>
      <c r="O284">
        <v>0.35</v>
      </c>
      <c r="P284">
        <v>990.68259999999998</v>
      </c>
      <c r="Q284">
        <v>3985</v>
      </c>
      <c r="R284">
        <v>15880225</v>
      </c>
      <c r="S284">
        <v>76.626999999999995</v>
      </c>
      <c r="T284">
        <v>5871.6970000000001</v>
      </c>
      <c r="U284">
        <v>1</v>
      </c>
      <c r="V284">
        <v>0</v>
      </c>
      <c r="W284">
        <v>1</v>
      </c>
      <c r="X284">
        <v>0</v>
      </c>
    </row>
    <row r="285" spans="1:24">
      <c r="A285">
        <v>96</v>
      </c>
      <c r="B285" t="s">
        <v>265</v>
      </c>
      <c r="C285">
        <v>95</v>
      </c>
      <c r="D285">
        <v>2003</v>
      </c>
      <c r="E285">
        <v>9.045477</v>
      </c>
      <c r="F285">
        <v>8.5451739999999994</v>
      </c>
      <c r="G285">
        <v>27</v>
      </c>
      <c r="H285">
        <v>729</v>
      </c>
      <c r="I285">
        <v>81502620</v>
      </c>
      <c r="J285">
        <v>696.45730000000003</v>
      </c>
      <c r="K285">
        <v>3</v>
      </c>
      <c r="L285">
        <v>2</v>
      </c>
      <c r="M285">
        <v>5</v>
      </c>
      <c r="N285">
        <v>-0.15</v>
      </c>
      <c r="O285">
        <v>0</v>
      </c>
      <c r="P285">
        <v>919.50429999999994</v>
      </c>
      <c r="Q285">
        <v>4041</v>
      </c>
      <c r="R285">
        <v>16329681</v>
      </c>
      <c r="S285">
        <v>81.503</v>
      </c>
      <c r="T285">
        <v>6642.7389999999996</v>
      </c>
      <c r="U285">
        <v>0.94469000000000003</v>
      </c>
      <c r="V285">
        <v>0</v>
      </c>
      <c r="W285">
        <v>0</v>
      </c>
      <c r="X285">
        <v>1</v>
      </c>
    </row>
    <row r="286" spans="1:24">
      <c r="A286">
        <v>97</v>
      </c>
      <c r="B286" t="s">
        <v>168</v>
      </c>
      <c r="C286">
        <v>96</v>
      </c>
      <c r="D286">
        <v>1995</v>
      </c>
      <c r="E286">
        <v>98.226889999999997</v>
      </c>
      <c r="F286">
        <v>106.6618</v>
      </c>
      <c r="G286">
        <v>14</v>
      </c>
      <c r="H286">
        <v>196</v>
      </c>
      <c r="I286">
        <v>38587600</v>
      </c>
      <c r="J286">
        <v>4115.8670000000002</v>
      </c>
      <c r="K286">
        <v>2</v>
      </c>
      <c r="L286">
        <v>1</v>
      </c>
      <c r="M286">
        <v>3</v>
      </c>
      <c r="N286">
        <v>0.63</v>
      </c>
      <c r="O286">
        <v>0.45</v>
      </c>
      <c r="P286">
        <v>3825.3440000000001</v>
      </c>
      <c r="Q286">
        <v>8170</v>
      </c>
      <c r="R286">
        <v>66748900</v>
      </c>
      <c r="S286">
        <v>38.588000000000001</v>
      </c>
      <c r="T286">
        <v>1489.0340000000001</v>
      </c>
      <c r="U286">
        <v>1.0858719999999999</v>
      </c>
      <c r="V286">
        <v>1</v>
      </c>
      <c r="W286">
        <v>0</v>
      </c>
      <c r="X286">
        <v>0</v>
      </c>
    </row>
    <row r="287" spans="1:24">
      <c r="A287">
        <v>97</v>
      </c>
      <c r="B287" t="s">
        <v>168</v>
      </c>
      <c r="C287">
        <v>96</v>
      </c>
      <c r="D287">
        <v>2000</v>
      </c>
      <c r="E287">
        <v>36.126840000000001</v>
      </c>
      <c r="F287">
        <v>36.126840000000001</v>
      </c>
      <c r="G287">
        <v>8</v>
      </c>
      <c r="H287">
        <v>64</v>
      </c>
      <c r="I287">
        <v>38648000</v>
      </c>
      <c r="J287">
        <v>1396.23</v>
      </c>
      <c r="K287">
        <v>2</v>
      </c>
      <c r="L287">
        <v>1</v>
      </c>
      <c r="M287">
        <v>3</v>
      </c>
      <c r="N287">
        <v>0.38</v>
      </c>
      <c r="O287">
        <v>0.62</v>
      </c>
      <c r="P287">
        <v>4309.3689999999997</v>
      </c>
      <c r="Q287">
        <v>10411</v>
      </c>
      <c r="R287" s="87">
        <v>108000000</v>
      </c>
      <c r="S287">
        <v>38.648000000000003</v>
      </c>
      <c r="T287">
        <v>1493.6679999999999</v>
      </c>
      <c r="U287">
        <v>1</v>
      </c>
      <c r="V287">
        <v>0</v>
      </c>
      <c r="W287">
        <v>1</v>
      </c>
      <c r="X287">
        <v>0</v>
      </c>
    </row>
    <row r="288" spans="1:24">
      <c r="A288">
        <v>97</v>
      </c>
      <c r="B288" t="s">
        <v>168</v>
      </c>
      <c r="C288">
        <v>96</v>
      </c>
      <c r="D288">
        <v>2003</v>
      </c>
      <c r="E288">
        <v>31.193580000000001</v>
      </c>
      <c r="F288">
        <v>29.46827</v>
      </c>
      <c r="G288">
        <v>6</v>
      </c>
      <c r="H288">
        <v>36</v>
      </c>
      <c r="I288">
        <v>38196000</v>
      </c>
      <c r="J288">
        <v>1125.57</v>
      </c>
      <c r="K288">
        <v>2</v>
      </c>
      <c r="L288">
        <v>1</v>
      </c>
      <c r="M288">
        <v>3</v>
      </c>
      <c r="N288">
        <v>0.56000000000000005</v>
      </c>
      <c r="O288">
        <v>0.64</v>
      </c>
      <c r="P288">
        <v>5182.76</v>
      </c>
      <c r="Q288">
        <v>11265</v>
      </c>
      <c r="R288" s="87">
        <v>127000000</v>
      </c>
      <c r="S288">
        <v>38.195999999999998</v>
      </c>
      <c r="T288">
        <v>1458.934</v>
      </c>
      <c r="U288">
        <v>0.94469000000000003</v>
      </c>
      <c r="V288">
        <v>0</v>
      </c>
      <c r="W288">
        <v>0</v>
      </c>
      <c r="X288">
        <v>1</v>
      </c>
    </row>
    <row r="289" spans="1:24">
      <c r="A289">
        <v>98</v>
      </c>
      <c r="B289" t="s">
        <v>1089</v>
      </c>
      <c r="C289">
        <v>97</v>
      </c>
      <c r="D289">
        <v>1995</v>
      </c>
      <c r="E289">
        <v>13.196949999999999</v>
      </c>
      <c r="F289">
        <v>14.3302</v>
      </c>
      <c r="G289">
        <v>21</v>
      </c>
      <c r="H289">
        <v>441</v>
      </c>
      <c r="I289">
        <v>22681000</v>
      </c>
      <c r="J289">
        <v>325.02330000000001</v>
      </c>
      <c r="K289">
        <v>3</v>
      </c>
      <c r="L289">
        <v>4</v>
      </c>
      <c r="M289">
        <v>7</v>
      </c>
      <c r="N289">
        <v>-0.55000000000000004</v>
      </c>
      <c r="O289">
        <v>-0.43</v>
      </c>
      <c r="P289">
        <v>1698.4939999999999</v>
      </c>
      <c r="Q289">
        <v>6384</v>
      </c>
      <c r="R289">
        <v>40755456</v>
      </c>
      <c r="S289">
        <v>22.681000000000001</v>
      </c>
      <c r="T289">
        <v>514.42780000000005</v>
      </c>
      <c r="U289">
        <v>1.0858719999999999</v>
      </c>
      <c r="V289">
        <v>1</v>
      </c>
      <c r="W289">
        <v>0</v>
      </c>
      <c r="X289">
        <v>0</v>
      </c>
    </row>
    <row r="290" spans="1:24">
      <c r="A290">
        <v>98</v>
      </c>
      <c r="B290" t="s">
        <v>1089</v>
      </c>
      <c r="C290">
        <v>97</v>
      </c>
      <c r="D290">
        <v>2000</v>
      </c>
      <c r="E290">
        <v>19.265250000000002</v>
      </c>
      <c r="F290">
        <v>19.265250000000002</v>
      </c>
      <c r="G290">
        <v>19</v>
      </c>
      <c r="H290">
        <v>361</v>
      </c>
      <c r="I290">
        <v>22443000</v>
      </c>
      <c r="J290">
        <v>432.37</v>
      </c>
      <c r="K290">
        <v>2</v>
      </c>
      <c r="L290">
        <v>2</v>
      </c>
      <c r="M290">
        <v>4</v>
      </c>
      <c r="N290">
        <v>-0.59</v>
      </c>
      <c r="O290">
        <v>-0.27</v>
      </c>
      <c r="P290">
        <v>1650.9659999999999</v>
      </c>
      <c r="Q290">
        <v>5965</v>
      </c>
      <c r="R290">
        <v>35581225</v>
      </c>
      <c r="S290">
        <v>22.443000000000001</v>
      </c>
      <c r="T290">
        <v>503.68819999999999</v>
      </c>
      <c r="U290">
        <v>1</v>
      </c>
      <c r="V290">
        <v>0</v>
      </c>
      <c r="W290">
        <v>1</v>
      </c>
      <c r="X290">
        <v>0</v>
      </c>
    </row>
    <row r="291" spans="1:24">
      <c r="A291">
        <v>98</v>
      </c>
      <c r="B291" t="s">
        <v>1089</v>
      </c>
      <c r="C291">
        <v>97</v>
      </c>
      <c r="D291">
        <v>2003</v>
      </c>
      <c r="E291">
        <v>27.64809</v>
      </c>
      <c r="F291">
        <v>26.118880000000001</v>
      </c>
      <c r="G291">
        <v>18</v>
      </c>
      <c r="H291">
        <v>324</v>
      </c>
      <c r="I291">
        <v>21744000</v>
      </c>
      <c r="J291">
        <v>567.92899999999997</v>
      </c>
      <c r="K291">
        <v>2</v>
      </c>
      <c r="L291">
        <v>2</v>
      </c>
      <c r="M291">
        <v>4</v>
      </c>
      <c r="N291">
        <v>-0.22</v>
      </c>
      <c r="O291">
        <v>-0.01</v>
      </c>
      <c r="P291">
        <v>2474.2959999999998</v>
      </c>
      <c r="Q291">
        <v>7176</v>
      </c>
      <c r="R291">
        <v>51494976</v>
      </c>
      <c r="S291">
        <v>21.744</v>
      </c>
      <c r="T291">
        <v>472.80149999999998</v>
      </c>
      <c r="U291">
        <v>0.94469000000000003</v>
      </c>
      <c r="V291">
        <v>0</v>
      </c>
      <c r="W291">
        <v>0</v>
      </c>
      <c r="X291">
        <v>1</v>
      </c>
    </row>
    <row r="292" spans="1:24">
      <c r="A292">
        <v>99</v>
      </c>
      <c r="B292" t="s">
        <v>1090</v>
      </c>
      <c r="C292">
        <v>98</v>
      </c>
      <c r="D292">
        <v>1995</v>
      </c>
      <c r="E292">
        <v>10.88166</v>
      </c>
      <c r="F292">
        <v>11.816090000000001</v>
      </c>
      <c r="G292">
        <v>18</v>
      </c>
      <c r="H292">
        <v>324</v>
      </c>
      <c r="I292">
        <v>148141000</v>
      </c>
      <c r="J292">
        <v>1750.4480000000001</v>
      </c>
      <c r="K292">
        <v>4</v>
      </c>
      <c r="L292">
        <v>3</v>
      </c>
      <c r="M292">
        <v>7</v>
      </c>
      <c r="N292">
        <v>-0.5</v>
      </c>
      <c r="O292">
        <v>-0.41</v>
      </c>
      <c r="P292">
        <v>2899.22</v>
      </c>
      <c r="Q292">
        <v>6314</v>
      </c>
      <c r="R292">
        <v>39866596</v>
      </c>
      <c r="S292">
        <v>148.14099999999999</v>
      </c>
      <c r="T292">
        <v>21945.759999999998</v>
      </c>
      <c r="U292">
        <v>1.0858719999999999</v>
      </c>
      <c r="V292">
        <v>1</v>
      </c>
      <c r="W292">
        <v>0</v>
      </c>
      <c r="X292">
        <v>0</v>
      </c>
    </row>
    <row r="293" spans="1:24">
      <c r="A293">
        <v>99</v>
      </c>
      <c r="B293" t="s">
        <v>1090</v>
      </c>
      <c r="C293">
        <v>98</v>
      </c>
      <c r="D293">
        <v>2000</v>
      </c>
      <c r="E293">
        <v>10.750920000000001</v>
      </c>
      <c r="F293">
        <v>10.750920000000001</v>
      </c>
      <c r="G293">
        <v>18</v>
      </c>
      <c r="H293">
        <v>324</v>
      </c>
      <c r="I293">
        <v>145555000</v>
      </c>
      <c r="J293">
        <v>1564.85</v>
      </c>
      <c r="K293">
        <v>5</v>
      </c>
      <c r="L293">
        <v>5</v>
      </c>
      <c r="M293">
        <v>10</v>
      </c>
      <c r="N293">
        <v>-0.62</v>
      </c>
      <c r="O293">
        <v>-1.58</v>
      </c>
      <c r="P293">
        <v>1784.2639999999999</v>
      </c>
      <c r="Q293">
        <v>7086</v>
      </c>
      <c r="R293">
        <v>50211396</v>
      </c>
      <c r="S293">
        <v>145.55500000000001</v>
      </c>
      <c r="T293">
        <v>21186.26</v>
      </c>
      <c r="U293">
        <v>1</v>
      </c>
      <c r="V293">
        <v>0</v>
      </c>
      <c r="W293">
        <v>1</v>
      </c>
      <c r="X293">
        <v>0</v>
      </c>
    </row>
    <row r="294" spans="1:24">
      <c r="A294">
        <v>99</v>
      </c>
      <c r="B294" t="s">
        <v>1090</v>
      </c>
      <c r="C294">
        <v>98</v>
      </c>
      <c r="D294">
        <v>2003</v>
      </c>
      <c r="E294">
        <v>8.7489629999999998</v>
      </c>
      <c r="F294">
        <v>8.2650600000000001</v>
      </c>
      <c r="G294">
        <v>16</v>
      </c>
      <c r="H294">
        <v>256</v>
      </c>
      <c r="I294">
        <v>143425000</v>
      </c>
      <c r="J294">
        <v>1185.4159999999999</v>
      </c>
      <c r="K294">
        <v>5</v>
      </c>
      <c r="L294">
        <v>5</v>
      </c>
      <c r="M294">
        <v>10</v>
      </c>
      <c r="N294">
        <v>-0.3</v>
      </c>
      <c r="O294">
        <v>-0.43</v>
      </c>
      <c r="P294">
        <v>2833.0189999999998</v>
      </c>
      <c r="Q294">
        <v>8534</v>
      </c>
      <c r="R294">
        <v>72829156</v>
      </c>
      <c r="S294">
        <v>143.42500000000001</v>
      </c>
      <c r="T294">
        <v>20570.73</v>
      </c>
      <c r="U294">
        <v>0.94469000000000003</v>
      </c>
      <c r="V294">
        <v>0</v>
      </c>
      <c r="W294">
        <v>0</v>
      </c>
      <c r="X294">
        <v>1</v>
      </c>
    </row>
    <row r="295" spans="1:24">
      <c r="A295">
        <v>100</v>
      </c>
      <c r="B295" t="s">
        <v>1091</v>
      </c>
      <c r="C295">
        <v>99</v>
      </c>
      <c r="D295">
        <v>1995</v>
      </c>
      <c r="E295">
        <v>123.2602</v>
      </c>
      <c r="F295">
        <v>133.84479999999999</v>
      </c>
      <c r="G295">
        <v>124</v>
      </c>
      <c r="H295">
        <v>15376</v>
      </c>
      <c r="I295">
        <v>5696000</v>
      </c>
      <c r="J295">
        <v>762.38009999999997</v>
      </c>
      <c r="K295">
        <v>6</v>
      </c>
      <c r="L295">
        <v>7</v>
      </c>
      <c r="M295">
        <v>13</v>
      </c>
      <c r="N295">
        <v>-1.26</v>
      </c>
      <c r="O295">
        <v>-1.0900000000000001</v>
      </c>
      <c r="P295">
        <v>246.57990000000001</v>
      </c>
      <c r="Q295">
        <v>912</v>
      </c>
      <c r="R295">
        <v>831744</v>
      </c>
      <c r="S295">
        <v>5.6959999999999997</v>
      </c>
      <c r="T295">
        <v>32.444420000000001</v>
      </c>
      <c r="U295">
        <v>1.0858719999999999</v>
      </c>
      <c r="V295">
        <v>1</v>
      </c>
      <c r="W295">
        <v>0</v>
      </c>
      <c r="X295">
        <v>0</v>
      </c>
    </row>
    <row r="296" spans="1:24">
      <c r="A296">
        <v>100</v>
      </c>
      <c r="B296" t="s">
        <v>1091</v>
      </c>
      <c r="C296">
        <v>99</v>
      </c>
      <c r="D296">
        <v>2000</v>
      </c>
      <c r="E296">
        <v>41.771949999999997</v>
      </c>
      <c r="F296">
        <v>41.771949999999997</v>
      </c>
      <c r="G296">
        <v>118</v>
      </c>
      <c r="H296">
        <v>13924</v>
      </c>
      <c r="I296">
        <v>7709000</v>
      </c>
      <c r="J296">
        <v>322.02</v>
      </c>
      <c r="K296">
        <v>6</v>
      </c>
      <c r="L296">
        <v>7</v>
      </c>
      <c r="M296">
        <v>13</v>
      </c>
      <c r="N296">
        <v>-0.11</v>
      </c>
      <c r="O296">
        <v>-0.54</v>
      </c>
      <c r="P296">
        <v>234.90469999999999</v>
      </c>
      <c r="Q296">
        <v>1087</v>
      </c>
      <c r="R296">
        <v>1181569</v>
      </c>
      <c r="S296">
        <v>7.7089999999999996</v>
      </c>
      <c r="T296">
        <v>59.42868</v>
      </c>
      <c r="U296">
        <v>1</v>
      </c>
      <c r="V296">
        <v>0</v>
      </c>
      <c r="W296">
        <v>1</v>
      </c>
      <c r="X296">
        <v>0</v>
      </c>
    </row>
    <row r="297" spans="1:24">
      <c r="A297">
        <v>100</v>
      </c>
      <c r="B297" t="s">
        <v>1091</v>
      </c>
      <c r="C297">
        <v>99</v>
      </c>
      <c r="D297">
        <v>2003</v>
      </c>
      <c r="E297">
        <v>39.49494</v>
      </c>
      <c r="F297">
        <v>37.310490000000001</v>
      </c>
      <c r="G297">
        <v>118</v>
      </c>
      <c r="H297">
        <v>13924</v>
      </c>
      <c r="I297">
        <v>8395000</v>
      </c>
      <c r="J297">
        <v>313.22149999999999</v>
      </c>
      <c r="K297">
        <v>5</v>
      </c>
      <c r="L297">
        <v>6</v>
      </c>
      <c r="M297">
        <v>11</v>
      </c>
      <c r="N297">
        <v>-0.64</v>
      </c>
      <c r="O297">
        <v>-0.65</v>
      </c>
      <c r="P297">
        <v>189.47569999999999</v>
      </c>
      <c r="Q297">
        <v>1188</v>
      </c>
      <c r="R297">
        <v>1411344</v>
      </c>
      <c r="S297">
        <v>8.3949999999999996</v>
      </c>
      <c r="T297">
        <v>70.476029999999994</v>
      </c>
      <c r="U297">
        <v>0.94469000000000003</v>
      </c>
      <c r="V297">
        <v>0</v>
      </c>
      <c r="W297">
        <v>0</v>
      </c>
      <c r="X297">
        <v>1</v>
      </c>
    </row>
    <row r="298" spans="1:24">
      <c r="A298">
        <v>101</v>
      </c>
      <c r="B298" t="s">
        <v>1092</v>
      </c>
      <c r="C298">
        <v>100</v>
      </c>
      <c r="D298">
        <v>1995</v>
      </c>
      <c r="E298">
        <v>262.78789999999998</v>
      </c>
      <c r="F298">
        <v>285.35410000000002</v>
      </c>
      <c r="G298">
        <v>24</v>
      </c>
      <c r="H298">
        <v>576</v>
      </c>
      <c r="I298">
        <v>165000</v>
      </c>
      <c r="J298">
        <v>47.083419999999997</v>
      </c>
      <c r="K298">
        <v>2</v>
      </c>
      <c r="L298">
        <v>2</v>
      </c>
      <c r="M298">
        <v>4</v>
      </c>
      <c r="N298">
        <v>-0.27</v>
      </c>
      <c r="O298">
        <v>-0.21</v>
      </c>
      <c r="P298">
        <v>1318.5609999999999</v>
      </c>
      <c r="Q298">
        <v>4421</v>
      </c>
      <c r="R298">
        <v>19545241</v>
      </c>
      <c r="S298">
        <v>0.16500000000000001</v>
      </c>
      <c r="T298">
        <v>2.7224999999999999E-2</v>
      </c>
      <c r="U298">
        <v>1.0858719999999999</v>
      </c>
      <c r="V298">
        <v>1</v>
      </c>
      <c r="W298">
        <v>0</v>
      </c>
      <c r="X298">
        <v>0</v>
      </c>
    </row>
    <row r="299" spans="1:24">
      <c r="A299">
        <v>101</v>
      </c>
      <c r="B299" t="s">
        <v>1092</v>
      </c>
      <c r="C299">
        <v>100</v>
      </c>
      <c r="D299">
        <v>2000</v>
      </c>
      <c r="E299">
        <v>159.12790000000001</v>
      </c>
      <c r="F299">
        <v>159.12790000000001</v>
      </c>
      <c r="G299">
        <v>21</v>
      </c>
      <c r="H299">
        <v>441</v>
      </c>
      <c r="I299">
        <v>172000</v>
      </c>
      <c r="J299">
        <v>27.37</v>
      </c>
      <c r="K299">
        <v>2</v>
      </c>
      <c r="L299">
        <v>2</v>
      </c>
      <c r="M299">
        <v>4</v>
      </c>
      <c r="N299">
        <v>0.57999999999999996</v>
      </c>
      <c r="O299">
        <v>-0.03</v>
      </c>
      <c r="P299">
        <v>1342.4490000000001</v>
      </c>
      <c r="Q299">
        <v>4968</v>
      </c>
      <c r="R299">
        <v>24681024</v>
      </c>
      <c r="S299">
        <v>0.17199999999999999</v>
      </c>
      <c r="T299">
        <v>2.9583999999999999E-2</v>
      </c>
      <c r="U299">
        <v>1</v>
      </c>
      <c r="V299">
        <v>0</v>
      </c>
      <c r="W299">
        <v>1</v>
      </c>
      <c r="X299">
        <v>0</v>
      </c>
    </row>
    <row r="300" spans="1:24">
      <c r="A300">
        <v>101</v>
      </c>
      <c r="B300" t="s">
        <v>1092</v>
      </c>
      <c r="C300">
        <v>100</v>
      </c>
      <c r="D300">
        <v>2003</v>
      </c>
      <c r="E300">
        <v>185.61799999999999</v>
      </c>
      <c r="F300">
        <v>175.35149999999999</v>
      </c>
      <c r="G300">
        <v>19</v>
      </c>
      <c r="H300">
        <v>361</v>
      </c>
      <c r="I300">
        <v>178000</v>
      </c>
      <c r="J300">
        <v>31.212569999999999</v>
      </c>
      <c r="K300">
        <v>2</v>
      </c>
      <c r="L300">
        <v>2</v>
      </c>
      <c r="M300">
        <v>4</v>
      </c>
      <c r="N300">
        <v>0.08</v>
      </c>
      <c r="O300">
        <v>0.17</v>
      </c>
      <c r="P300">
        <v>1686.085</v>
      </c>
      <c r="Q300">
        <v>5117</v>
      </c>
      <c r="R300">
        <v>26183689</v>
      </c>
      <c r="S300">
        <v>0.17799999999999999</v>
      </c>
      <c r="T300">
        <v>3.1683999999999997E-2</v>
      </c>
      <c r="U300">
        <v>0.94469000000000003</v>
      </c>
      <c r="V300">
        <v>0</v>
      </c>
      <c r="W300">
        <v>0</v>
      </c>
      <c r="X300">
        <v>1</v>
      </c>
    </row>
    <row r="301" spans="1:24">
      <c r="A301">
        <v>102</v>
      </c>
      <c r="B301" t="s">
        <v>269</v>
      </c>
      <c r="C301">
        <v>101</v>
      </c>
      <c r="D301">
        <v>1995</v>
      </c>
      <c r="E301">
        <v>0.94755</v>
      </c>
      <c r="F301">
        <v>1.028918</v>
      </c>
      <c r="G301">
        <v>27</v>
      </c>
      <c r="H301">
        <v>729</v>
      </c>
      <c r="I301">
        <v>18204840</v>
      </c>
      <c r="J301">
        <v>18.731459999999998</v>
      </c>
      <c r="K301">
        <v>7</v>
      </c>
      <c r="L301">
        <v>7</v>
      </c>
      <c r="M301">
        <v>14</v>
      </c>
      <c r="N301">
        <v>-0.09</v>
      </c>
      <c r="O301">
        <v>7.0000000000000007E-2</v>
      </c>
      <c r="P301">
        <v>8497.2379999999994</v>
      </c>
      <c r="Q301">
        <v>12521</v>
      </c>
      <c r="R301" s="87">
        <v>157000000</v>
      </c>
      <c r="S301">
        <v>18.204999999999998</v>
      </c>
      <c r="T301">
        <v>331.42200000000003</v>
      </c>
      <c r="U301">
        <v>1.0858719999999999</v>
      </c>
      <c r="V301">
        <v>1</v>
      </c>
      <c r="W301">
        <v>0</v>
      </c>
      <c r="X301">
        <v>0</v>
      </c>
    </row>
    <row r="302" spans="1:24">
      <c r="A302">
        <v>102</v>
      </c>
      <c r="B302" t="s">
        <v>269</v>
      </c>
      <c r="C302">
        <v>101</v>
      </c>
      <c r="D302">
        <v>2000</v>
      </c>
      <c r="E302">
        <v>1.4949460000000001</v>
      </c>
      <c r="F302">
        <v>1.4949460000000001</v>
      </c>
      <c r="G302">
        <v>24</v>
      </c>
      <c r="H302">
        <v>576</v>
      </c>
      <c r="I302">
        <v>20723150</v>
      </c>
      <c r="J302">
        <v>30.979769999999998</v>
      </c>
      <c r="K302">
        <v>7</v>
      </c>
      <c r="L302">
        <v>7</v>
      </c>
      <c r="M302">
        <v>14</v>
      </c>
      <c r="N302">
        <v>0.06</v>
      </c>
      <c r="O302">
        <v>-0.1</v>
      </c>
      <c r="P302">
        <v>9093.3040000000001</v>
      </c>
      <c r="Q302">
        <v>12700</v>
      </c>
      <c r="R302" s="87">
        <v>161000000</v>
      </c>
      <c r="S302">
        <v>20.722999999999999</v>
      </c>
      <c r="T302">
        <v>429.4427</v>
      </c>
      <c r="U302">
        <v>1</v>
      </c>
      <c r="V302">
        <v>0</v>
      </c>
      <c r="W302">
        <v>1</v>
      </c>
      <c r="X302">
        <v>0</v>
      </c>
    </row>
    <row r="303" spans="1:24">
      <c r="A303">
        <v>102</v>
      </c>
      <c r="B303" t="s">
        <v>269</v>
      </c>
      <c r="C303">
        <v>101</v>
      </c>
      <c r="D303">
        <v>2003</v>
      </c>
      <c r="E303">
        <v>0.97255400000000003</v>
      </c>
      <c r="F303">
        <v>0.918763</v>
      </c>
      <c r="G303">
        <v>22</v>
      </c>
      <c r="H303">
        <v>484</v>
      </c>
      <c r="I303">
        <v>22528300</v>
      </c>
      <c r="J303">
        <v>20.697880000000001</v>
      </c>
      <c r="K303">
        <v>7</v>
      </c>
      <c r="L303">
        <v>7</v>
      </c>
      <c r="M303">
        <v>14</v>
      </c>
      <c r="N303">
        <v>-7.0000000000000007E-2</v>
      </c>
      <c r="O303">
        <v>-0.14000000000000001</v>
      </c>
      <c r="P303">
        <v>8914.2759999999998</v>
      </c>
      <c r="Q303">
        <v>12772</v>
      </c>
      <c r="R303" s="87">
        <v>163000000</v>
      </c>
      <c r="S303">
        <v>22.527999999999999</v>
      </c>
      <c r="T303">
        <v>507.51080000000002</v>
      </c>
      <c r="U303">
        <v>0.94469000000000003</v>
      </c>
      <c r="V303">
        <v>0</v>
      </c>
      <c r="W303">
        <v>0</v>
      </c>
      <c r="X303">
        <v>1</v>
      </c>
    </row>
    <row r="304" spans="1:24">
      <c r="A304">
        <v>103</v>
      </c>
      <c r="B304" t="s">
        <v>1093</v>
      </c>
      <c r="C304">
        <v>102</v>
      </c>
      <c r="D304">
        <v>1995</v>
      </c>
      <c r="E304">
        <v>80.237399999999994</v>
      </c>
      <c r="F304">
        <v>87.127560000000003</v>
      </c>
      <c r="G304">
        <v>84</v>
      </c>
      <c r="H304">
        <v>7056</v>
      </c>
      <c r="I304">
        <v>8298000</v>
      </c>
      <c r="J304">
        <v>722.98450000000003</v>
      </c>
      <c r="K304">
        <v>5</v>
      </c>
      <c r="L304">
        <v>4</v>
      </c>
      <c r="M304">
        <v>9</v>
      </c>
      <c r="N304">
        <v>-0.4</v>
      </c>
      <c r="O304">
        <v>-0.45</v>
      </c>
      <c r="P304">
        <v>585.74639999999999</v>
      </c>
      <c r="Q304">
        <v>1333</v>
      </c>
      <c r="R304">
        <v>1776889</v>
      </c>
      <c r="S304">
        <v>8.298</v>
      </c>
      <c r="T304">
        <v>68.856800000000007</v>
      </c>
      <c r="U304">
        <v>1.0858719999999999</v>
      </c>
      <c r="V304">
        <v>1</v>
      </c>
      <c r="W304">
        <v>0</v>
      </c>
      <c r="X304">
        <v>0</v>
      </c>
    </row>
    <row r="305" spans="1:24">
      <c r="A305">
        <v>103</v>
      </c>
      <c r="B305" t="s">
        <v>1093</v>
      </c>
      <c r="C305">
        <v>102</v>
      </c>
      <c r="D305">
        <v>2000</v>
      </c>
      <c r="E305">
        <v>44.434420000000003</v>
      </c>
      <c r="F305">
        <v>44.434420000000003</v>
      </c>
      <c r="G305">
        <v>80</v>
      </c>
      <c r="H305">
        <v>6400</v>
      </c>
      <c r="I305">
        <v>9530000</v>
      </c>
      <c r="J305">
        <v>423.46</v>
      </c>
      <c r="K305">
        <v>4</v>
      </c>
      <c r="L305">
        <v>3</v>
      </c>
      <c r="M305">
        <v>7</v>
      </c>
      <c r="N305">
        <v>0.23</v>
      </c>
      <c r="O305">
        <v>-0.05</v>
      </c>
      <c r="P305">
        <v>458.90190000000001</v>
      </c>
      <c r="Q305">
        <v>1481</v>
      </c>
      <c r="R305">
        <v>2193361</v>
      </c>
      <c r="S305">
        <v>9.5299999999999994</v>
      </c>
      <c r="T305">
        <v>90.820899999999995</v>
      </c>
      <c r="U305">
        <v>1</v>
      </c>
      <c r="V305">
        <v>0</v>
      </c>
      <c r="W305">
        <v>1</v>
      </c>
      <c r="X305">
        <v>0</v>
      </c>
    </row>
    <row r="306" spans="1:24">
      <c r="A306">
        <v>103</v>
      </c>
      <c r="B306" t="s">
        <v>1093</v>
      </c>
      <c r="C306">
        <v>102</v>
      </c>
      <c r="D306">
        <v>2003</v>
      </c>
      <c r="E306">
        <v>43.905929999999998</v>
      </c>
      <c r="F306">
        <v>41.477510000000002</v>
      </c>
      <c r="G306">
        <v>78</v>
      </c>
      <c r="H306">
        <v>6084</v>
      </c>
      <c r="I306">
        <v>10239850</v>
      </c>
      <c r="J306">
        <v>424.72969999999998</v>
      </c>
      <c r="K306">
        <v>3</v>
      </c>
      <c r="L306">
        <v>2</v>
      </c>
      <c r="M306">
        <v>5</v>
      </c>
      <c r="N306">
        <v>-0.12</v>
      </c>
      <c r="O306">
        <v>-0.27</v>
      </c>
      <c r="P306">
        <v>598.24109999999996</v>
      </c>
      <c r="Q306">
        <v>1557</v>
      </c>
      <c r="R306">
        <v>2424249</v>
      </c>
      <c r="S306">
        <v>10.24</v>
      </c>
      <c r="T306">
        <v>104.85760000000001</v>
      </c>
      <c r="U306">
        <v>0.94469000000000003</v>
      </c>
      <c r="V306">
        <v>0</v>
      </c>
      <c r="W306">
        <v>0</v>
      </c>
      <c r="X306">
        <v>1</v>
      </c>
    </row>
    <row r="307" spans="1:24">
      <c r="A307">
        <v>104</v>
      </c>
      <c r="B307" t="s">
        <v>1094</v>
      </c>
      <c r="C307">
        <v>103</v>
      </c>
      <c r="D307">
        <v>1995</v>
      </c>
      <c r="E307">
        <v>172.37719999999999</v>
      </c>
      <c r="F307">
        <v>187.17959999999999</v>
      </c>
      <c r="G307">
        <v>16</v>
      </c>
      <c r="H307">
        <v>256</v>
      </c>
      <c r="I307">
        <v>75300</v>
      </c>
      <c r="J307">
        <v>14.03847</v>
      </c>
      <c r="K307">
        <v>3</v>
      </c>
      <c r="L307">
        <v>3</v>
      </c>
      <c r="M307">
        <v>6</v>
      </c>
      <c r="N307">
        <v>-0.57999999999999996</v>
      </c>
      <c r="O307">
        <v>-1.17</v>
      </c>
      <c r="P307">
        <v>7329.0529999999999</v>
      </c>
      <c r="Q307">
        <v>13778</v>
      </c>
      <c r="R307" s="87">
        <v>190000000</v>
      </c>
      <c r="S307">
        <v>7.4999999999999997E-2</v>
      </c>
      <c r="T307">
        <v>5.6249999999999998E-3</v>
      </c>
      <c r="U307">
        <v>1.0858719999999999</v>
      </c>
      <c r="V307">
        <v>1</v>
      </c>
      <c r="W307">
        <v>0</v>
      </c>
      <c r="X307">
        <v>0</v>
      </c>
    </row>
    <row r="308" spans="1:24">
      <c r="A308">
        <v>104</v>
      </c>
      <c r="B308" t="s">
        <v>1094</v>
      </c>
      <c r="C308">
        <v>103</v>
      </c>
      <c r="D308">
        <v>2000</v>
      </c>
      <c r="E308">
        <v>225.31739999999999</v>
      </c>
      <c r="F308">
        <v>225.31739999999999</v>
      </c>
      <c r="G308">
        <v>13</v>
      </c>
      <c r="H308">
        <v>169</v>
      </c>
      <c r="I308">
        <v>81130</v>
      </c>
      <c r="J308">
        <v>18.250710000000002</v>
      </c>
      <c r="K308">
        <v>3</v>
      </c>
      <c r="L308">
        <v>3</v>
      </c>
      <c r="M308">
        <v>6</v>
      </c>
      <c r="N308">
        <v>-0.94</v>
      </c>
      <c r="O308">
        <v>-1.34</v>
      </c>
      <c r="P308">
        <v>7618.6369999999997</v>
      </c>
      <c r="Q308">
        <v>17968</v>
      </c>
      <c r="R308" s="87">
        <v>323000000</v>
      </c>
      <c r="S308">
        <v>8.1000000000000003E-2</v>
      </c>
      <c r="T308">
        <v>6.561E-3</v>
      </c>
      <c r="U308">
        <v>1</v>
      </c>
      <c r="V308">
        <v>0</v>
      </c>
      <c r="W308">
        <v>1</v>
      </c>
      <c r="X308">
        <v>0</v>
      </c>
    </row>
    <row r="309" spans="1:24">
      <c r="A309">
        <v>104</v>
      </c>
      <c r="B309" t="s">
        <v>1094</v>
      </c>
      <c r="C309">
        <v>103</v>
      </c>
      <c r="D309">
        <v>2003</v>
      </c>
      <c r="E309">
        <v>110.1161</v>
      </c>
      <c r="F309">
        <v>104.0256</v>
      </c>
      <c r="G309">
        <v>11</v>
      </c>
      <c r="H309">
        <v>121</v>
      </c>
      <c r="I309">
        <v>83639</v>
      </c>
      <c r="J309">
        <v>8.7381510000000002</v>
      </c>
      <c r="K309">
        <v>3</v>
      </c>
      <c r="L309">
        <v>3</v>
      </c>
      <c r="M309">
        <v>6</v>
      </c>
      <c r="N309">
        <v>-0.27</v>
      </c>
      <c r="O309">
        <v>-0.85</v>
      </c>
      <c r="P309">
        <v>7939.0140000000001</v>
      </c>
      <c r="Q309">
        <v>15844</v>
      </c>
      <c r="R309" s="87">
        <v>251000000</v>
      </c>
      <c r="S309">
        <v>8.4000000000000005E-2</v>
      </c>
      <c r="T309">
        <v>7.0559999999999998E-3</v>
      </c>
      <c r="U309">
        <v>0.94469000000000003</v>
      </c>
      <c r="V309">
        <v>0</v>
      </c>
      <c r="W309">
        <v>0</v>
      </c>
      <c r="X309">
        <v>1</v>
      </c>
    </row>
    <row r="310" spans="1:24">
      <c r="A310">
        <v>105</v>
      </c>
      <c r="B310" t="s">
        <v>1095</v>
      </c>
      <c r="C310">
        <v>104</v>
      </c>
      <c r="D310">
        <v>1995</v>
      </c>
      <c r="E310">
        <v>45.756100000000004</v>
      </c>
      <c r="F310">
        <v>49.685279999999999</v>
      </c>
      <c r="G310">
        <v>171</v>
      </c>
      <c r="H310">
        <v>29241</v>
      </c>
      <c r="I310">
        <v>4510000</v>
      </c>
      <c r="J310">
        <v>224.0806</v>
      </c>
      <c r="K310">
        <v>6</v>
      </c>
      <c r="L310">
        <v>7</v>
      </c>
      <c r="M310">
        <v>13</v>
      </c>
      <c r="N310">
        <v>-0.24</v>
      </c>
      <c r="O310">
        <v>-0.45</v>
      </c>
      <c r="P310">
        <v>209.65029999999999</v>
      </c>
      <c r="Q310">
        <v>630</v>
      </c>
      <c r="R310">
        <v>396900</v>
      </c>
      <c r="S310">
        <v>4.51</v>
      </c>
      <c r="T310">
        <v>20.3401</v>
      </c>
      <c r="U310">
        <v>1.0858719999999999</v>
      </c>
      <c r="V310">
        <v>1</v>
      </c>
      <c r="W310">
        <v>0</v>
      </c>
      <c r="X310">
        <v>0</v>
      </c>
    </row>
    <row r="311" spans="1:24">
      <c r="A311">
        <v>105</v>
      </c>
      <c r="B311" t="s">
        <v>1095</v>
      </c>
      <c r="C311">
        <v>104</v>
      </c>
      <c r="D311">
        <v>2000</v>
      </c>
      <c r="E311">
        <v>36.255220000000001</v>
      </c>
      <c r="F311">
        <v>36.255220000000001</v>
      </c>
      <c r="G311">
        <v>167</v>
      </c>
      <c r="H311">
        <v>27889</v>
      </c>
      <c r="I311">
        <v>5031000</v>
      </c>
      <c r="J311">
        <v>182.4</v>
      </c>
      <c r="K311">
        <v>5</v>
      </c>
      <c r="L311">
        <v>4</v>
      </c>
      <c r="M311">
        <v>9</v>
      </c>
      <c r="N311">
        <v>-1.39</v>
      </c>
      <c r="O311">
        <v>-1.05</v>
      </c>
      <c r="P311">
        <v>125.9764</v>
      </c>
      <c r="Q311">
        <v>464</v>
      </c>
      <c r="R311">
        <v>215296</v>
      </c>
      <c r="S311">
        <v>5.0309999999999997</v>
      </c>
      <c r="T311">
        <v>25.310960000000001</v>
      </c>
      <c r="U311">
        <v>1</v>
      </c>
      <c r="V311">
        <v>0</v>
      </c>
      <c r="W311">
        <v>1</v>
      </c>
      <c r="X311">
        <v>0</v>
      </c>
    </row>
    <row r="312" spans="1:24">
      <c r="A312">
        <v>105</v>
      </c>
      <c r="B312" t="s">
        <v>1095</v>
      </c>
      <c r="C312">
        <v>104</v>
      </c>
      <c r="D312">
        <v>2003</v>
      </c>
      <c r="E312">
        <v>55.723080000000003</v>
      </c>
      <c r="F312">
        <v>52.64105</v>
      </c>
      <c r="G312">
        <v>166</v>
      </c>
      <c r="H312">
        <v>27556</v>
      </c>
      <c r="I312">
        <v>5336568</v>
      </c>
      <c r="J312">
        <v>280.94529999999997</v>
      </c>
      <c r="K312">
        <v>3</v>
      </c>
      <c r="L312">
        <v>4</v>
      </c>
      <c r="M312">
        <v>7</v>
      </c>
      <c r="N312">
        <v>-1.4</v>
      </c>
      <c r="O312">
        <v>-1.1499999999999999</v>
      </c>
      <c r="P312">
        <v>175.2397</v>
      </c>
      <c r="Q312">
        <v>716</v>
      </c>
      <c r="R312">
        <v>512656</v>
      </c>
      <c r="S312">
        <v>5.3369999999999997</v>
      </c>
      <c r="T312">
        <v>28.48357</v>
      </c>
      <c r="U312">
        <v>0.94469000000000003</v>
      </c>
      <c r="V312">
        <v>0</v>
      </c>
      <c r="W312">
        <v>0</v>
      </c>
      <c r="X312">
        <v>1</v>
      </c>
    </row>
    <row r="313" spans="1:24">
      <c r="A313">
        <v>106</v>
      </c>
      <c r="B313" t="s">
        <v>271</v>
      </c>
      <c r="C313">
        <v>105</v>
      </c>
      <c r="D313">
        <v>1995</v>
      </c>
      <c r="E313">
        <v>4.724901</v>
      </c>
      <c r="F313">
        <v>5.1306390000000004</v>
      </c>
      <c r="G313">
        <v>4</v>
      </c>
      <c r="H313">
        <v>16</v>
      </c>
      <c r="I313">
        <v>3526000</v>
      </c>
      <c r="J313">
        <v>18.090630000000001</v>
      </c>
      <c r="K313">
        <v>5</v>
      </c>
      <c r="L313">
        <v>5</v>
      </c>
      <c r="M313">
        <v>10</v>
      </c>
      <c r="N313">
        <v>2.5099999999999998</v>
      </c>
      <c r="O313">
        <v>2.29</v>
      </c>
      <c r="P313">
        <v>25848.1</v>
      </c>
      <c r="Q313">
        <v>19445</v>
      </c>
      <c r="R313" s="87">
        <v>378000000</v>
      </c>
      <c r="S313">
        <v>3.5259999999999998</v>
      </c>
      <c r="T313">
        <v>12.43268</v>
      </c>
      <c r="U313">
        <v>1.0858719999999999</v>
      </c>
      <c r="V313">
        <v>1</v>
      </c>
      <c r="W313">
        <v>0</v>
      </c>
      <c r="X313">
        <v>0</v>
      </c>
    </row>
    <row r="314" spans="1:24">
      <c r="A314">
        <v>106</v>
      </c>
      <c r="B314" t="s">
        <v>271</v>
      </c>
      <c r="C314">
        <v>105</v>
      </c>
      <c r="D314">
        <v>2000</v>
      </c>
      <c r="E314">
        <v>0.27625699999999997</v>
      </c>
      <c r="F314">
        <v>0.27625699999999997</v>
      </c>
      <c r="G314">
        <v>3</v>
      </c>
      <c r="H314">
        <v>9</v>
      </c>
      <c r="I314">
        <v>4018000</v>
      </c>
      <c r="J314">
        <v>1.1100000000000001</v>
      </c>
      <c r="K314">
        <v>5</v>
      </c>
      <c r="L314">
        <v>5</v>
      </c>
      <c r="M314">
        <v>10</v>
      </c>
      <c r="N314">
        <v>2.44</v>
      </c>
      <c r="O314">
        <v>2.31</v>
      </c>
      <c r="P314">
        <v>22766.58</v>
      </c>
      <c r="Q314">
        <v>23610</v>
      </c>
      <c r="R314" s="87">
        <v>557000000</v>
      </c>
      <c r="S314">
        <v>4.0179999999999998</v>
      </c>
      <c r="T314">
        <v>16.14432</v>
      </c>
      <c r="U314">
        <v>1</v>
      </c>
      <c r="V314">
        <v>0</v>
      </c>
      <c r="W314">
        <v>1</v>
      </c>
      <c r="X314">
        <v>0</v>
      </c>
    </row>
    <row r="315" spans="1:24">
      <c r="A315">
        <v>107</v>
      </c>
      <c r="B315" t="s">
        <v>1096</v>
      </c>
      <c r="C315">
        <v>106</v>
      </c>
      <c r="D315">
        <v>1995</v>
      </c>
      <c r="E315">
        <v>18.325040000000001</v>
      </c>
      <c r="F315">
        <v>19.89865</v>
      </c>
      <c r="G315">
        <v>11</v>
      </c>
      <c r="H315">
        <v>121</v>
      </c>
      <c r="I315">
        <v>5363700</v>
      </c>
      <c r="J315">
        <v>106.7364</v>
      </c>
      <c r="K315">
        <v>3</v>
      </c>
      <c r="L315">
        <v>2</v>
      </c>
      <c r="M315">
        <v>5</v>
      </c>
      <c r="N315">
        <v>0.28000000000000003</v>
      </c>
      <c r="O315">
        <v>0.27</v>
      </c>
      <c r="P315">
        <v>3924.2530000000002</v>
      </c>
      <c r="Q315">
        <v>9333</v>
      </c>
      <c r="R315">
        <v>87104889</v>
      </c>
      <c r="S315">
        <v>5.3639999999999999</v>
      </c>
      <c r="T315">
        <v>28.772500000000001</v>
      </c>
      <c r="U315">
        <v>1.0858719999999999</v>
      </c>
      <c r="V315">
        <v>1</v>
      </c>
      <c r="W315">
        <v>0</v>
      </c>
      <c r="X315">
        <v>0</v>
      </c>
    </row>
    <row r="316" spans="1:24">
      <c r="A316">
        <v>107</v>
      </c>
      <c r="B316" t="s">
        <v>1096</v>
      </c>
      <c r="C316">
        <v>106</v>
      </c>
      <c r="D316">
        <v>2000</v>
      </c>
      <c r="E316">
        <v>20.973839999999999</v>
      </c>
      <c r="F316">
        <v>20.973839999999999</v>
      </c>
      <c r="G316">
        <v>8</v>
      </c>
      <c r="H316">
        <v>64</v>
      </c>
      <c r="I316">
        <v>5391000</v>
      </c>
      <c r="J316">
        <v>113.07</v>
      </c>
      <c r="K316">
        <v>2</v>
      </c>
      <c r="L316">
        <v>1</v>
      </c>
      <c r="M316">
        <v>3</v>
      </c>
      <c r="N316">
        <v>0.28000000000000003</v>
      </c>
      <c r="O316">
        <v>0.37</v>
      </c>
      <c r="P316">
        <v>3750.2890000000002</v>
      </c>
      <c r="Q316">
        <v>11315</v>
      </c>
      <c r="R316" s="87">
        <v>128000000</v>
      </c>
      <c r="S316">
        <v>5.391</v>
      </c>
      <c r="T316">
        <v>29.06288</v>
      </c>
      <c r="U316">
        <v>1</v>
      </c>
      <c r="V316">
        <v>0</v>
      </c>
      <c r="W316">
        <v>1</v>
      </c>
      <c r="X316">
        <v>0</v>
      </c>
    </row>
    <row r="317" spans="1:24">
      <c r="A317">
        <v>107</v>
      </c>
      <c r="B317" t="s">
        <v>1096</v>
      </c>
      <c r="C317">
        <v>106</v>
      </c>
      <c r="D317">
        <v>2003</v>
      </c>
      <c r="E317">
        <v>29.656770000000002</v>
      </c>
      <c r="F317">
        <v>28.016459999999999</v>
      </c>
      <c r="G317">
        <v>7</v>
      </c>
      <c r="H317">
        <v>49</v>
      </c>
      <c r="I317">
        <v>5390000</v>
      </c>
      <c r="J317">
        <v>151.0087</v>
      </c>
      <c r="K317">
        <v>2</v>
      </c>
      <c r="L317">
        <v>1</v>
      </c>
      <c r="M317">
        <v>3</v>
      </c>
      <c r="N317">
        <v>0.55000000000000004</v>
      </c>
      <c r="O317">
        <v>0.95</v>
      </c>
      <c r="P317">
        <v>5730.0079999999998</v>
      </c>
      <c r="Q317">
        <v>12658</v>
      </c>
      <c r="R317" s="87">
        <v>160000000</v>
      </c>
      <c r="S317">
        <v>5.39</v>
      </c>
      <c r="T317">
        <v>29.052099999999999</v>
      </c>
      <c r="U317">
        <v>0.94469000000000003</v>
      </c>
      <c r="V317">
        <v>0</v>
      </c>
      <c r="W317">
        <v>0</v>
      </c>
      <c r="X317">
        <v>1</v>
      </c>
    </row>
    <row r="318" spans="1:24">
      <c r="A318">
        <v>108</v>
      </c>
      <c r="B318" t="s">
        <v>1097</v>
      </c>
      <c r="C318">
        <v>107</v>
      </c>
      <c r="D318">
        <v>1995</v>
      </c>
      <c r="E318">
        <v>26.452259999999999</v>
      </c>
      <c r="F318">
        <v>28.723769999999998</v>
      </c>
      <c r="G318">
        <v>6</v>
      </c>
      <c r="H318">
        <v>36</v>
      </c>
      <c r="I318">
        <v>1990000</v>
      </c>
      <c r="J318">
        <v>57.160310000000003</v>
      </c>
      <c r="K318">
        <v>2</v>
      </c>
      <c r="L318">
        <v>1</v>
      </c>
      <c r="M318">
        <v>3</v>
      </c>
      <c r="N318">
        <v>0.61</v>
      </c>
      <c r="O318">
        <v>0.5</v>
      </c>
      <c r="P318">
        <v>10926.57</v>
      </c>
      <c r="Q318">
        <v>13634</v>
      </c>
      <c r="R318" s="87">
        <v>186000000</v>
      </c>
      <c r="S318">
        <v>1.99</v>
      </c>
      <c r="T318">
        <v>3.9601000000000002</v>
      </c>
      <c r="U318">
        <v>1.0858719999999999</v>
      </c>
      <c r="V318">
        <v>1</v>
      </c>
      <c r="W318">
        <v>0</v>
      </c>
      <c r="X318">
        <v>0</v>
      </c>
    </row>
    <row r="319" spans="1:24">
      <c r="A319">
        <v>108</v>
      </c>
      <c r="B319" t="s">
        <v>1097</v>
      </c>
      <c r="C319">
        <v>107</v>
      </c>
      <c r="D319">
        <v>2000</v>
      </c>
      <c r="E319">
        <v>30.598289999999999</v>
      </c>
      <c r="F319">
        <v>30.598289999999999</v>
      </c>
      <c r="G319">
        <v>5</v>
      </c>
      <c r="H319">
        <v>25</v>
      </c>
      <c r="I319">
        <v>1989000</v>
      </c>
      <c r="J319">
        <v>60.86</v>
      </c>
      <c r="K319">
        <v>2</v>
      </c>
      <c r="L319">
        <v>1</v>
      </c>
      <c r="M319">
        <v>3</v>
      </c>
      <c r="N319">
        <v>0.82</v>
      </c>
      <c r="O319">
        <v>0.66</v>
      </c>
      <c r="P319">
        <v>9586.2900000000009</v>
      </c>
      <c r="Q319">
        <v>16897</v>
      </c>
      <c r="R319" s="87">
        <v>286000000</v>
      </c>
      <c r="S319">
        <v>1.9890000000000001</v>
      </c>
      <c r="T319">
        <v>3.956121</v>
      </c>
      <c r="U319">
        <v>1</v>
      </c>
      <c r="V319">
        <v>0</v>
      </c>
      <c r="W319">
        <v>1</v>
      </c>
      <c r="X319">
        <v>0</v>
      </c>
    </row>
    <row r="320" spans="1:24">
      <c r="A320">
        <v>108</v>
      </c>
      <c r="B320" t="s">
        <v>1097</v>
      </c>
      <c r="C320">
        <v>107</v>
      </c>
      <c r="D320">
        <v>2003</v>
      </c>
      <c r="E320">
        <v>33.047620000000002</v>
      </c>
      <c r="F320">
        <v>31.21977</v>
      </c>
      <c r="G320">
        <v>4</v>
      </c>
      <c r="H320">
        <v>16</v>
      </c>
      <c r="I320">
        <v>1995000</v>
      </c>
      <c r="J320">
        <v>62.283430000000003</v>
      </c>
      <c r="K320">
        <v>1</v>
      </c>
      <c r="L320">
        <v>1</v>
      </c>
      <c r="M320">
        <v>2</v>
      </c>
      <c r="N320">
        <v>0.95</v>
      </c>
      <c r="O320">
        <v>0.87</v>
      </c>
      <c r="P320">
        <v>13139.88</v>
      </c>
      <c r="Q320">
        <v>18474</v>
      </c>
      <c r="R320" s="87">
        <v>341000000</v>
      </c>
      <c r="S320">
        <v>1.9950000000000001</v>
      </c>
      <c r="T320">
        <v>3.9800249999999999</v>
      </c>
      <c r="U320">
        <v>0.94469000000000003</v>
      </c>
      <c r="V320">
        <v>0</v>
      </c>
      <c r="W320">
        <v>0</v>
      </c>
      <c r="X320">
        <v>1</v>
      </c>
    </row>
    <row r="321" spans="1:24">
      <c r="A321">
        <v>109</v>
      </c>
      <c r="B321" t="s">
        <v>1098</v>
      </c>
      <c r="C321">
        <v>108</v>
      </c>
      <c r="D321">
        <v>1995</v>
      </c>
      <c r="E321">
        <v>130.1362</v>
      </c>
      <c r="F321">
        <v>141.31129999999999</v>
      </c>
      <c r="G321">
        <v>25</v>
      </c>
      <c r="H321">
        <v>625</v>
      </c>
      <c r="I321">
        <v>367000</v>
      </c>
      <c r="J321">
        <v>51.861240000000002</v>
      </c>
      <c r="K321">
        <v>2</v>
      </c>
      <c r="L321">
        <v>1</v>
      </c>
      <c r="M321">
        <v>3</v>
      </c>
      <c r="N321">
        <v>-1.06</v>
      </c>
      <c r="O321">
        <v>-1.24</v>
      </c>
      <c r="P321">
        <v>968.19060000000002</v>
      </c>
      <c r="Q321">
        <v>2459</v>
      </c>
      <c r="R321">
        <v>6046681</v>
      </c>
      <c r="S321">
        <v>0.36699999999999999</v>
      </c>
      <c r="T321">
        <v>0.134689</v>
      </c>
      <c r="U321">
        <v>1.0858719999999999</v>
      </c>
      <c r="V321">
        <v>1</v>
      </c>
      <c r="W321">
        <v>0</v>
      </c>
      <c r="X321">
        <v>0</v>
      </c>
    </row>
    <row r="322" spans="1:24">
      <c r="A322">
        <v>109</v>
      </c>
      <c r="B322" t="s">
        <v>1098</v>
      </c>
      <c r="C322">
        <v>108</v>
      </c>
      <c r="D322">
        <v>2000</v>
      </c>
      <c r="E322">
        <v>163.2458</v>
      </c>
      <c r="F322">
        <v>163.2458</v>
      </c>
      <c r="G322">
        <v>21</v>
      </c>
      <c r="H322">
        <v>441</v>
      </c>
      <c r="I322">
        <v>419000</v>
      </c>
      <c r="J322">
        <v>68.399990000000003</v>
      </c>
      <c r="K322">
        <v>4</v>
      </c>
      <c r="L322">
        <v>4</v>
      </c>
      <c r="M322">
        <v>8</v>
      </c>
      <c r="N322">
        <v>-1.04</v>
      </c>
      <c r="O322">
        <v>-1.55</v>
      </c>
      <c r="P322">
        <v>714.26919999999996</v>
      </c>
      <c r="Q322">
        <v>1875</v>
      </c>
      <c r="R322">
        <v>3515625</v>
      </c>
      <c r="S322">
        <v>0.41899999999999998</v>
      </c>
      <c r="T322">
        <v>0.17556099999999999</v>
      </c>
      <c r="U322">
        <v>1</v>
      </c>
      <c r="V322">
        <v>0</v>
      </c>
      <c r="W322">
        <v>1</v>
      </c>
      <c r="X322">
        <v>0</v>
      </c>
    </row>
    <row r="323" spans="1:24">
      <c r="A323">
        <v>109</v>
      </c>
      <c r="B323" t="s">
        <v>1098</v>
      </c>
      <c r="C323">
        <v>108</v>
      </c>
      <c r="D323">
        <v>2003</v>
      </c>
      <c r="E323">
        <v>131.89680000000001</v>
      </c>
      <c r="F323">
        <v>124.6016</v>
      </c>
      <c r="G323">
        <v>19</v>
      </c>
      <c r="H323">
        <v>361</v>
      </c>
      <c r="I323">
        <v>456645</v>
      </c>
      <c r="J323">
        <v>56.94294</v>
      </c>
      <c r="K323">
        <v>3</v>
      </c>
      <c r="L323">
        <v>3</v>
      </c>
      <c r="M323">
        <v>6</v>
      </c>
      <c r="N323">
        <v>-1.34</v>
      </c>
      <c r="O323">
        <v>-1.68</v>
      </c>
      <c r="P323">
        <v>488.39550000000003</v>
      </c>
      <c r="Q323">
        <v>1651</v>
      </c>
      <c r="R323">
        <v>2725801</v>
      </c>
      <c r="S323">
        <v>0.45700000000000002</v>
      </c>
      <c r="T323">
        <v>0.20884900000000001</v>
      </c>
      <c r="U323">
        <v>0.94469000000000003</v>
      </c>
      <c r="V323">
        <v>0</v>
      </c>
      <c r="W323">
        <v>0</v>
      </c>
      <c r="X323">
        <v>1</v>
      </c>
    </row>
    <row r="324" spans="1:24">
      <c r="A324">
        <v>110</v>
      </c>
      <c r="B324" t="s">
        <v>275</v>
      </c>
      <c r="C324">
        <v>109</v>
      </c>
      <c r="D324">
        <v>1995</v>
      </c>
      <c r="E324">
        <v>9.9414630000000006</v>
      </c>
      <c r="F324">
        <v>10.795159999999999</v>
      </c>
      <c r="G324">
        <v>45</v>
      </c>
      <c r="H324">
        <v>2025</v>
      </c>
      <c r="I324">
        <v>39120000</v>
      </c>
      <c r="J324">
        <v>422.3066</v>
      </c>
      <c r="K324">
        <v>2</v>
      </c>
      <c r="L324">
        <v>1</v>
      </c>
      <c r="M324">
        <v>3</v>
      </c>
      <c r="N324">
        <v>0.33</v>
      </c>
      <c r="O324">
        <v>0.27</v>
      </c>
      <c r="P324">
        <v>4194.5169999999998</v>
      </c>
      <c r="Q324">
        <v>9259</v>
      </c>
      <c r="R324">
        <v>85729081</v>
      </c>
      <c r="S324">
        <v>39.119999999999997</v>
      </c>
      <c r="T324">
        <v>1530.374</v>
      </c>
      <c r="U324">
        <v>1.0858719999999999</v>
      </c>
      <c r="V324">
        <v>1</v>
      </c>
      <c r="W324">
        <v>0</v>
      </c>
      <c r="X324">
        <v>0</v>
      </c>
    </row>
    <row r="325" spans="1:24">
      <c r="A325">
        <v>110</v>
      </c>
      <c r="B325" t="s">
        <v>275</v>
      </c>
      <c r="C325">
        <v>109</v>
      </c>
      <c r="D325">
        <v>2000</v>
      </c>
      <c r="E325">
        <v>11.08023</v>
      </c>
      <c r="F325">
        <v>11.08023</v>
      </c>
      <c r="G325">
        <v>50</v>
      </c>
      <c r="H325">
        <v>2500</v>
      </c>
      <c r="I325">
        <v>44000000</v>
      </c>
      <c r="J325">
        <v>487.5301</v>
      </c>
      <c r="K325">
        <v>2</v>
      </c>
      <c r="L325">
        <v>1</v>
      </c>
      <c r="M325">
        <v>3</v>
      </c>
      <c r="N325">
        <v>0.43</v>
      </c>
      <c r="O325">
        <v>0.12</v>
      </c>
      <c r="P325">
        <v>3019.9450000000002</v>
      </c>
      <c r="Q325">
        <v>9492</v>
      </c>
      <c r="R325">
        <v>90098064</v>
      </c>
      <c r="S325">
        <v>44</v>
      </c>
      <c r="T325">
        <v>1936</v>
      </c>
      <c r="U325">
        <v>1</v>
      </c>
      <c r="V325">
        <v>0</v>
      </c>
      <c r="W325">
        <v>1</v>
      </c>
      <c r="X325">
        <v>0</v>
      </c>
    </row>
    <row r="326" spans="1:24">
      <c r="A326">
        <v>110</v>
      </c>
      <c r="B326" t="s">
        <v>275</v>
      </c>
      <c r="C326">
        <v>109</v>
      </c>
      <c r="D326">
        <v>2003</v>
      </c>
      <c r="E326">
        <v>13.635120000000001</v>
      </c>
      <c r="F326">
        <v>12.88097</v>
      </c>
      <c r="G326">
        <v>53</v>
      </c>
      <c r="H326">
        <v>2809</v>
      </c>
      <c r="I326">
        <v>45828700</v>
      </c>
      <c r="J326">
        <v>590.32180000000005</v>
      </c>
      <c r="K326">
        <v>2</v>
      </c>
      <c r="L326">
        <v>1</v>
      </c>
      <c r="M326">
        <v>3</v>
      </c>
      <c r="N326">
        <v>0.66</v>
      </c>
      <c r="O326">
        <v>0.48</v>
      </c>
      <c r="P326">
        <v>3410.1770000000001</v>
      </c>
      <c r="Q326">
        <v>10008</v>
      </c>
      <c r="R326" s="87">
        <v>100000000</v>
      </c>
      <c r="S326">
        <v>45.829000000000001</v>
      </c>
      <c r="T326">
        <v>2100.297</v>
      </c>
      <c r="U326">
        <v>0.94469000000000003</v>
      </c>
      <c r="V326">
        <v>0</v>
      </c>
      <c r="W326">
        <v>0</v>
      </c>
      <c r="X326">
        <v>1</v>
      </c>
    </row>
    <row r="327" spans="1:24">
      <c r="A327">
        <v>111</v>
      </c>
      <c r="B327" t="s">
        <v>279</v>
      </c>
      <c r="C327">
        <v>110</v>
      </c>
      <c r="D327">
        <v>1995</v>
      </c>
      <c r="E327">
        <v>32.123260000000002</v>
      </c>
      <c r="F327">
        <v>34.88176</v>
      </c>
      <c r="G327">
        <v>21</v>
      </c>
      <c r="H327">
        <v>441</v>
      </c>
      <c r="I327">
        <v>17280000</v>
      </c>
      <c r="J327">
        <v>602.75670000000002</v>
      </c>
      <c r="K327">
        <v>5</v>
      </c>
      <c r="L327">
        <v>4</v>
      </c>
      <c r="M327">
        <v>9</v>
      </c>
      <c r="N327">
        <v>-0.3</v>
      </c>
      <c r="O327">
        <v>0.34</v>
      </c>
      <c r="P327">
        <v>818.75829999999996</v>
      </c>
      <c r="Q327">
        <v>2866</v>
      </c>
      <c r="R327">
        <v>8213956</v>
      </c>
      <c r="S327">
        <v>17.28</v>
      </c>
      <c r="T327">
        <v>298.59840000000003</v>
      </c>
      <c r="U327">
        <v>1.0858719999999999</v>
      </c>
      <c r="V327">
        <v>1</v>
      </c>
      <c r="W327">
        <v>0</v>
      </c>
      <c r="X327">
        <v>0</v>
      </c>
    </row>
    <row r="328" spans="1:24">
      <c r="A328">
        <v>111</v>
      </c>
      <c r="B328" t="s">
        <v>279</v>
      </c>
      <c r="C328">
        <v>110</v>
      </c>
      <c r="D328">
        <v>2000</v>
      </c>
      <c r="E328">
        <v>14.96128</v>
      </c>
      <c r="F328">
        <v>14.96128</v>
      </c>
      <c r="G328">
        <v>16</v>
      </c>
      <c r="H328">
        <v>256</v>
      </c>
      <c r="I328">
        <v>18467000</v>
      </c>
      <c r="J328">
        <v>276.29000000000002</v>
      </c>
      <c r="K328">
        <v>4</v>
      </c>
      <c r="L328">
        <v>3</v>
      </c>
      <c r="M328">
        <v>7</v>
      </c>
      <c r="N328">
        <v>-0.32</v>
      </c>
      <c r="O328">
        <v>0.32</v>
      </c>
      <c r="P328">
        <v>884.38130000000001</v>
      </c>
      <c r="Q328">
        <v>3625</v>
      </c>
      <c r="R328">
        <v>13140625</v>
      </c>
      <c r="S328">
        <v>18.466999999999999</v>
      </c>
      <c r="T328">
        <v>341.0301</v>
      </c>
      <c r="U328">
        <v>1</v>
      </c>
      <c r="V328">
        <v>0</v>
      </c>
      <c r="W328">
        <v>1</v>
      </c>
      <c r="X328">
        <v>0</v>
      </c>
    </row>
    <row r="329" spans="1:24">
      <c r="A329">
        <v>111</v>
      </c>
      <c r="B329" t="s">
        <v>279</v>
      </c>
      <c r="C329">
        <v>110</v>
      </c>
      <c r="D329">
        <v>2003</v>
      </c>
      <c r="E329">
        <v>34.936999999999998</v>
      </c>
      <c r="F329">
        <v>33.004649999999998</v>
      </c>
      <c r="G329">
        <v>13</v>
      </c>
      <c r="H329">
        <v>169</v>
      </c>
      <c r="I329">
        <v>19231760</v>
      </c>
      <c r="J329">
        <v>634.74530000000004</v>
      </c>
      <c r="K329">
        <v>3</v>
      </c>
      <c r="L329">
        <v>3</v>
      </c>
      <c r="M329">
        <v>6</v>
      </c>
      <c r="N329">
        <v>-0.13</v>
      </c>
      <c r="O329">
        <v>0.19</v>
      </c>
      <c r="P329">
        <v>896.28809999999999</v>
      </c>
      <c r="Q329">
        <v>3543</v>
      </c>
      <c r="R329">
        <v>12552849</v>
      </c>
      <c r="S329">
        <v>19.231999999999999</v>
      </c>
      <c r="T329">
        <v>369.8698</v>
      </c>
      <c r="U329">
        <v>0.94469000000000003</v>
      </c>
      <c r="V329">
        <v>0</v>
      </c>
      <c r="W329">
        <v>0</v>
      </c>
      <c r="X329">
        <v>1</v>
      </c>
    </row>
    <row r="330" spans="1:24">
      <c r="A330">
        <v>112</v>
      </c>
      <c r="B330" t="s">
        <v>1099</v>
      </c>
      <c r="C330">
        <v>111</v>
      </c>
      <c r="D330">
        <v>1995</v>
      </c>
      <c r="E330">
        <v>95.853660000000005</v>
      </c>
      <c r="F330">
        <v>104.0848</v>
      </c>
      <c r="G330">
        <v>25</v>
      </c>
      <c r="H330">
        <v>625</v>
      </c>
      <c r="I330">
        <v>41000</v>
      </c>
      <c r="J330">
        <v>4.2674779999999997</v>
      </c>
      <c r="K330">
        <v>2</v>
      </c>
      <c r="L330">
        <v>1</v>
      </c>
      <c r="M330">
        <v>3</v>
      </c>
      <c r="N330">
        <v>-0.24</v>
      </c>
      <c r="O330">
        <v>-0.14000000000000001</v>
      </c>
      <c r="P330">
        <v>6111.0950000000003</v>
      </c>
      <c r="Q330">
        <v>9281</v>
      </c>
      <c r="R330">
        <v>86136961</v>
      </c>
      <c r="S330">
        <v>4.1000000000000002E-2</v>
      </c>
      <c r="T330">
        <v>1.681E-3</v>
      </c>
      <c r="U330">
        <v>1.0858719999999999</v>
      </c>
      <c r="V330">
        <v>1</v>
      </c>
      <c r="W330">
        <v>0</v>
      </c>
      <c r="X330">
        <v>0</v>
      </c>
    </row>
    <row r="331" spans="1:24">
      <c r="A331">
        <v>112</v>
      </c>
      <c r="B331" t="s">
        <v>1099</v>
      </c>
      <c r="C331">
        <v>111</v>
      </c>
      <c r="D331">
        <v>2000</v>
      </c>
      <c r="E331">
        <v>88.281779999999998</v>
      </c>
      <c r="F331">
        <v>88.281779999999998</v>
      </c>
      <c r="G331">
        <v>21</v>
      </c>
      <c r="H331">
        <v>441</v>
      </c>
      <c r="I331">
        <v>44290</v>
      </c>
      <c r="J331">
        <v>3.884398</v>
      </c>
      <c r="K331">
        <v>2</v>
      </c>
      <c r="L331">
        <v>1</v>
      </c>
      <c r="M331">
        <v>3</v>
      </c>
      <c r="N331">
        <v>0.11</v>
      </c>
      <c r="O331">
        <v>0.28000000000000003</v>
      </c>
      <c r="P331">
        <v>7441.6930000000002</v>
      </c>
      <c r="Q331">
        <v>11426</v>
      </c>
      <c r="R331" s="87">
        <v>131000000</v>
      </c>
      <c r="S331">
        <v>4.3999999999999997E-2</v>
      </c>
      <c r="T331">
        <v>1.936E-3</v>
      </c>
      <c r="U331">
        <v>1</v>
      </c>
      <c r="V331">
        <v>0</v>
      </c>
      <c r="W331">
        <v>1</v>
      </c>
      <c r="X331">
        <v>0</v>
      </c>
    </row>
    <row r="332" spans="1:24">
      <c r="A332">
        <v>113</v>
      </c>
      <c r="B332" t="s">
        <v>1100</v>
      </c>
      <c r="C332">
        <v>112</v>
      </c>
      <c r="D332">
        <v>1995</v>
      </c>
      <c r="E332">
        <v>331.75189999999998</v>
      </c>
      <c r="F332">
        <v>360.24020000000002</v>
      </c>
      <c r="G332">
        <v>18</v>
      </c>
      <c r="H332">
        <v>324</v>
      </c>
      <c r="I332">
        <v>145440</v>
      </c>
      <c r="J332">
        <v>52.234819999999999</v>
      </c>
      <c r="K332">
        <v>2</v>
      </c>
      <c r="L332">
        <v>1</v>
      </c>
      <c r="M332">
        <v>3</v>
      </c>
      <c r="N332">
        <v>0.36</v>
      </c>
      <c r="O332">
        <v>-0.14000000000000001</v>
      </c>
      <c r="P332">
        <v>4187.0820000000003</v>
      </c>
      <c r="Q332">
        <v>5528</v>
      </c>
      <c r="R332">
        <v>30558784</v>
      </c>
      <c r="S332">
        <v>0.14499999999999999</v>
      </c>
      <c r="T332">
        <v>2.1024999999999999E-2</v>
      </c>
      <c r="U332">
        <v>1.0858719999999999</v>
      </c>
      <c r="V332">
        <v>1</v>
      </c>
      <c r="W332">
        <v>0</v>
      </c>
      <c r="X332">
        <v>0</v>
      </c>
    </row>
    <row r="333" spans="1:24">
      <c r="A333">
        <v>113</v>
      </c>
      <c r="B333" t="s">
        <v>1100</v>
      </c>
      <c r="C333">
        <v>112</v>
      </c>
      <c r="D333">
        <v>2000</v>
      </c>
      <c r="E333">
        <v>70.384609999999995</v>
      </c>
      <c r="F333">
        <v>70.384609999999995</v>
      </c>
      <c r="G333">
        <v>17</v>
      </c>
      <c r="H333">
        <v>289</v>
      </c>
      <c r="I333">
        <v>156000</v>
      </c>
      <c r="J333">
        <v>10.98</v>
      </c>
      <c r="K333">
        <v>2</v>
      </c>
      <c r="L333">
        <v>1</v>
      </c>
      <c r="M333">
        <v>3</v>
      </c>
      <c r="N333">
        <v>0.16</v>
      </c>
      <c r="O333">
        <v>0.28000000000000003</v>
      </c>
      <c r="P333">
        <v>4379.4870000000001</v>
      </c>
      <c r="Q333">
        <v>5620</v>
      </c>
      <c r="R333">
        <v>31584400</v>
      </c>
      <c r="S333">
        <v>0.156</v>
      </c>
      <c r="T333">
        <v>2.4336E-2</v>
      </c>
      <c r="U333">
        <v>1</v>
      </c>
      <c r="V333">
        <v>0</v>
      </c>
      <c r="W333">
        <v>1</v>
      </c>
      <c r="X333">
        <v>0</v>
      </c>
    </row>
    <row r="334" spans="1:24">
      <c r="A334">
        <v>113</v>
      </c>
      <c r="B334" t="s">
        <v>1100</v>
      </c>
      <c r="C334">
        <v>112</v>
      </c>
      <c r="D334">
        <v>2003</v>
      </c>
      <c r="E334">
        <v>92.285849999999996</v>
      </c>
      <c r="F334">
        <v>87.181550000000001</v>
      </c>
      <c r="G334">
        <v>16</v>
      </c>
      <c r="H334">
        <v>256</v>
      </c>
      <c r="I334">
        <v>160588</v>
      </c>
      <c r="J334">
        <v>14.03623</v>
      </c>
      <c r="K334">
        <v>2</v>
      </c>
      <c r="L334">
        <v>1</v>
      </c>
      <c r="M334">
        <v>3</v>
      </c>
      <c r="N334">
        <v>0.1</v>
      </c>
      <c r="O334">
        <v>0.3</v>
      </c>
      <c r="P334">
        <v>4080.826</v>
      </c>
      <c r="Q334">
        <v>5447</v>
      </c>
      <c r="R334">
        <v>29669809</v>
      </c>
      <c r="S334">
        <v>0.161</v>
      </c>
      <c r="T334">
        <v>2.5921E-2</v>
      </c>
      <c r="U334">
        <v>0.94469000000000003</v>
      </c>
      <c r="V334">
        <v>0</v>
      </c>
      <c r="W334">
        <v>0</v>
      </c>
      <c r="X334">
        <v>1</v>
      </c>
    </row>
    <row r="335" spans="1:24">
      <c r="A335">
        <v>114</v>
      </c>
      <c r="B335" t="s">
        <v>1101</v>
      </c>
      <c r="C335">
        <v>113</v>
      </c>
      <c r="D335">
        <v>1995</v>
      </c>
      <c r="E335">
        <v>429.36939999999998</v>
      </c>
      <c r="F335">
        <v>466.24029999999999</v>
      </c>
      <c r="G335">
        <v>18</v>
      </c>
      <c r="H335">
        <v>324</v>
      </c>
      <c r="I335">
        <v>111000</v>
      </c>
      <c r="J335">
        <v>51.752670000000002</v>
      </c>
      <c r="K335">
        <v>1</v>
      </c>
      <c r="L335">
        <v>2</v>
      </c>
      <c r="M335">
        <v>3</v>
      </c>
      <c r="N335">
        <v>-0.27</v>
      </c>
      <c r="O335">
        <v>-0.21</v>
      </c>
      <c r="P335">
        <v>2606.8910000000001</v>
      </c>
      <c r="Q335">
        <v>4679</v>
      </c>
      <c r="R335">
        <v>21893041</v>
      </c>
      <c r="S335">
        <v>0.111</v>
      </c>
      <c r="T335">
        <v>1.2321E-2</v>
      </c>
      <c r="U335">
        <v>1.0858719999999999</v>
      </c>
      <c r="V335">
        <v>1</v>
      </c>
      <c r="W335">
        <v>0</v>
      </c>
      <c r="X335">
        <v>0</v>
      </c>
    </row>
    <row r="336" spans="1:24">
      <c r="A336">
        <v>114</v>
      </c>
      <c r="B336" t="s">
        <v>1101</v>
      </c>
      <c r="C336">
        <v>113</v>
      </c>
      <c r="D336">
        <v>2000</v>
      </c>
      <c r="E336">
        <v>55.094200000000001</v>
      </c>
      <c r="F336">
        <v>55.094200000000001</v>
      </c>
      <c r="G336">
        <v>21</v>
      </c>
      <c r="H336">
        <v>441</v>
      </c>
      <c r="I336">
        <v>111990</v>
      </c>
      <c r="J336">
        <v>6.1705500000000004</v>
      </c>
      <c r="K336">
        <v>1</v>
      </c>
      <c r="L336">
        <v>2</v>
      </c>
      <c r="M336">
        <v>3</v>
      </c>
      <c r="N336">
        <v>-0.01</v>
      </c>
      <c r="O336">
        <v>0.28000000000000003</v>
      </c>
      <c r="P336">
        <v>2996.3</v>
      </c>
      <c r="Q336">
        <v>5418</v>
      </c>
      <c r="R336">
        <v>29354724</v>
      </c>
      <c r="S336">
        <v>0.112</v>
      </c>
      <c r="T336">
        <v>1.2544E-2</v>
      </c>
      <c r="U336">
        <v>1</v>
      </c>
      <c r="V336">
        <v>0</v>
      </c>
      <c r="W336">
        <v>1</v>
      </c>
      <c r="X336">
        <v>0</v>
      </c>
    </row>
    <row r="337" spans="1:24">
      <c r="A337">
        <v>114</v>
      </c>
      <c r="B337" t="s">
        <v>1101</v>
      </c>
      <c r="C337">
        <v>113</v>
      </c>
      <c r="D337">
        <v>2003</v>
      </c>
      <c r="E337">
        <v>57.986150000000002</v>
      </c>
      <c r="F337">
        <v>54.778950000000002</v>
      </c>
      <c r="G337">
        <v>23</v>
      </c>
      <c r="H337">
        <v>529</v>
      </c>
      <c r="I337">
        <v>109164</v>
      </c>
      <c r="J337">
        <v>5.9709060000000003</v>
      </c>
      <c r="K337">
        <v>1</v>
      </c>
      <c r="L337">
        <v>2</v>
      </c>
      <c r="M337">
        <v>3</v>
      </c>
      <c r="N337">
        <v>0.02</v>
      </c>
      <c r="O337">
        <v>0.31</v>
      </c>
      <c r="P337">
        <v>3256.4169999999999</v>
      </c>
      <c r="Q337">
        <v>5882</v>
      </c>
      <c r="R337">
        <v>34597924</v>
      </c>
      <c r="S337">
        <v>0.109</v>
      </c>
      <c r="T337">
        <v>1.1880999999999999E-2</v>
      </c>
      <c r="U337">
        <v>0.94469000000000003</v>
      </c>
      <c r="V337">
        <v>0</v>
      </c>
      <c r="W337">
        <v>0</v>
      </c>
      <c r="X337">
        <v>1</v>
      </c>
    </row>
    <row r="338" spans="1:24">
      <c r="A338">
        <v>115</v>
      </c>
      <c r="B338" t="s">
        <v>1102</v>
      </c>
      <c r="C338">
        <v>114</v>
      </c>
      <c r="D338">
        <v>1995</v>
      </c>
      <c r="E338">
        <v>8.6319759999999999</v>
      </c>
      <c r="F338">
        <v>9.3732229999999994</v>
      </c>
      <c r="G338">
        <v>69</v>
      </c>
      <c r="H338">
        <v>4761</v>
      </c>
      <c r="I338">
        <v>28077000</v>
      </c>
      <c r="J338">
        <v>263.17200000000003</v>
      </c>
      <c r="K338">
        <v>7</v>
      </c>
      <c r="L338">
        <v>7</v>
      </c>
      <c r="M338">
        <v>14</v>
      </c>
      <c r="N338">
        <v>-1.53</v>
      </c>
      <c r="O338">
        <v>-1.67</v>
      </c>
      <c r="P338">
        <v>278.24119999999999</v>
      </c>
      <c r="Q338">
        <v>1411</v>
      </c>
      <c r="R338">
        <v>1990921</v>
      </c>
      <c r="S338">
        <v>28.077000000000002</v>
      </c>
      <c r="T338">
        <v>788.31790000000001</v>
      </c>
      <c r="U338">
        <v>1.0858719999999999</v>
      </c>
      <c r="V338">
        <v>1</v>
      </c>
      <c r="W338">
        <v>0</v>
      </c>
      <c r="X338">
        <v>0</v>
      </c>
    </row>
    <row r="339" spans="1:24">
      <c r="A339">
        <v>115</v>
      </c>
      <c r="B339" t="s">
        <v>1102</v>
      </c>
      <c r="C339">
        <v>114</v>
      </c>
      <c r="D339">
        <v>2000</v>
      </c>
      <c r="E339">
        <v>7.1698950000000004</v>
      </c>
      <c r="F339">
        <v>7.1698950000000004</v>
      </c>
      <c r="G339">
        <v>65</v>
      </c>
      <c r="H339">
        <v>4225</v>
      </c>
      <c r="I339">
        <v>31437000</v>
      </c>
      <c r="J339">
        <v>225.4</v>
      </c>
      <c r="K339">
        <v>7</v>
      </c>
      <c r="L339">
        <v>7</v>
      </c>
      <c r="M339">
        <v>14</v>
      </c>
      <c r="N339">
        <v>-1.46</v>
      </c>
      <c r="O339">
        <v>-0.84</v>
      </c>
      <c r="P339">
        <v>387.80990000000003</v>
      </c>
      <c r="Q339">
        <v>1767</v>
      </c>
      <c r="R339">
        <v>3122289</v>
      </c>
      <c r="S339">
        <v>31.437000000000001</v>
      </c>
      <c r="T339">
        <v>988.28499999999997</v>
      </c>
      <c r="U339">
        <v>1</v>
      </c>
      <c r="V339">
        <v>0</v>
      </c>
      <c r="W339">
        <v>1</v>
      </c>
      <c r="X339">
        <v>0</v>
      </c>
    </row>
    <row r="340" spans="1:24">
      <c r="A340">
        <v>115</v>
      </c>
      <c r="B340" t="s">
        <v>1102</v>
      </c>
      <c r="C340">
        <v>114</v>
      </c>
      <c r="D340">
        <v>2003</v>
      </c>
      <c r="E340">
        <v>18.5198</v>
      </c>
      <c r="F340">
        <v>17.495480000000001</v>
      </c>
      <c r="G340">
        <v>63</v>
      </c>
      <c r="H340">
        <v>3969</v>
      </c>
      <c r="I340">
        <v>33545730</v>
      </c>
      <c r="J340">
        <v>586.90319999999997</v>
      </c>
      <c r="K340">
        <v>7</v>
      </c>
      <c r="L340">
        <v>7</v>
      </c>
      <c r="M340">
        <v>14</v>
      </c>
      <c r="N340">
        <v>-1.19</v>
      </c>
      <c r="O340">
        <v>-1.1100000000000001</v>
      </c>
      <c r="P340">
        <v>501.03370000000001</v>
      </c>
      <c r="Q340">
        <v>1816</v>
      </c>
      <c r="R340">
        <v>3297856</v>
      </c>
      <c r="S340">
        <v>33.545999999999999</v>
      </c>
      <c r="T340">
        <v>1125.3340000000001</v>
      </c>
      <c r="U340">
        <v>0.94469000000000003</v>
      </c>
      <c r="V340">
        <v>0</v>
      </c>
      <c r="W340">
        <v>0</v>
      </c>
      <c r="X340">
        <v>1</v>
      </c>
    </row>
    <row r="341" spans="1:24">
      <c r="A341">
        <v>116</v>
      </c>
      <c r="B341" t="s">
        <v>1103</v>
      </c>
      <c r="C341">
        <v>115</v>
      </c>
      <c r="D341">
        <v>1995</v>
      </c>
      <c r="E341">
        <v>64.55556</v>
      </c>
      <c r="F341">
        <v>70.099090000000004</v>
      </c>
      <c r="G341">
        <v>78</v>
      </c>
      <c r="H341">
        <v>6084</v>
      </c>
      <c r="I341">
        <v>900000</v>
      </c>
      <c r="J341">
        <v>63.089179999999999</v>
      </c>
      <c r="K341">
        <v>5</v>
      </c>
      <c r="L341">
        <v>6</v>
      </c>
      <c r="M341">
        <v>11</v>
      </c>
      <c r="N341">
        <v>-0.45</v>
      </c>
      <c r="O341">
        <v>0.02</v>
      </c>
      <c r="P341">
        <v>1646.2</v>
      </c>
      <c r="Q341">
        <v>4191</v>
      </c>
      <c r="R341">
        <v>17564481</v>
      </c>
      <c r="S341">
        <v>0.9</v>
      </c>
      <c r="T341">
        <v>0.81</v>
      </c>
      <c r="U341">
        <v>1.0858719999999999</v>
      </c>
      <c r="V341">
        <v>1</v>
      </c>
      <c r="W341">
        <v>0</v>
      </c>
      <c r="X341">
        <v>0</v>
      </c>
    </row>
    <row r="342" spans="1:24">
      <c r="A342">
        <v>116</v>
      </c>
      <c r="B342" t="s">
        <v>1103</v>
      </c>
      <c r="C342">
        <v>115</v>
      </c>
      <c r="D342">
        <v>2000</v>
      </c>
      <c r="E342">
        <v>12.62201</v>
      </c>
      <c r="F342">
        <v>12.62201</v>
      </c>
      <c r="G342">
        <v>98</v>
      </c>
      <c r="H342">
        <v>9604</v>
      </c>
      <c r="I342">
        <v>1045000</v>
      </c>
      <c r="J342">
        <v>13.19</v>
      </c>
      <c r="K342">
        <v>5</v>
      </c>
      <c r="L342">
        <v>6</v>
      </c>
      <c r="M342">
        <v>11</v>
      </c>
      <c r="N342">
        <v>-0.55000000000000004</v>
      </c>
      <c r="O342">
        <v>-0.37</v>
      </c>
      <c r="P342">
        <v>1328.0250000000001</v>
      </c>
      <c r="Q342">
        <v>4394</v>
      </c>
      <c r="R342">
        <v>19307236</v>
      </c>
      <c r="S342">
        <v>1.0449999999999999</v>
      </c>
      <c r="T342">
        <v>1.092025</v>
      </c>
      <c r="U342">
        <v>1</v>
      </c>
      <c r="V342">
        <v>0</v>
      </c>
      <c r="W342">
        <v>1</v>
      </c>
      <c r="X342">
        <v>0</v>
      </c>
    </row>
    <row r="343" spans="1:24">
      <c r="A343">
        <v>116</v>
      </c>
      <c r="B343" t="s">
        <v>1103</v>
      </c>
      <c r="C343">
        <v>115</v>
      </c>
      <c r="D343">
        <v>2003</v>
      </c>
      <c r="E343">
        <v>24.495149999999999</v>
      </c>
      <c r="F343">
        <v>23.140329999999999</v>
      </c>
      <c r="G343">
        <v>105</v>
      </c>
      <c r="H343">
        <v>11025</v>
      </c>
      <c r="I343">
        <v>1105525</v>
      </c>
      <c r="J343">
        <v>25.593209999999999</v>
      </c>
      <c r="K343">
        <v>5</v>
      </c>
      <c r="L343">
        <v>7</v>
      </c>
      <c r="M343">
        <v>12</v>
      </c>
      <c r="N343">
        <v>-0.5</v>
      </c>
      <c r="O343">
        <v>-0.25</v>
      </c>
      <c r="P343">
        <v>1626.6890000000001</v>
      </c>
      <c r="Q343">
        <v>4587</v>
      </c>
      <c r="R343">
        <v>21040569</v>
      </c>
      <c r="S343">
        <v>1.1060000000000001</v>
      </c>
      <c r="T343">
        <v>1.223236</v>
      </c>
      <c r="U343">
        <v>0.94469000000000003</v>
      </c>
      <c r="V343">
        <v>0</v>
      </c>
      <c r="W343">
        <v>0</v>
      </c>
      <c r="X343">
        <v>1</v>
      </c>
    </row>
    <row r="344" spans="1:24">
      <c r="A344">
        <v>117</v>
      </c>
      <c r="B344" t="s">
        <v>1104</v>
      </c>
      <c r="C344">
        <v>116</v>
      </c>
      <c r="D344">
        <v>1995</v>
      </c>
      <c r="E344">
        <v>25.261939999999999</v>
      </c>
      <c r="F344">
        <v>27.431239999999999</v>
      </c>
      <c r="G344">
        <v>26</v>
      </c>
      <c r="H344">
        <v>676</v>
      </c>
      <c r="I344">
        <v>14221000</v>
      </c>
      <c r="J344">
        <v>390.09960000000001</v>
      </c>
      <c r="K344">
        <v>7</v>
      </c>
      <c r="L344">
        <v>7</v>
      </c>
      <c r="M344">
        <v>14</v>
      </c>
      <c r="N344">
        <v>-0.43</v>
      </c>
      <c r="O344">
        <v>-1.03</v>
      </c>
      <c r="P344">
        <v>870.21799999999996</v>
      </c>
      <c r="Q344">
        <v>3162</v>
      </c>
      <c r="R344">
        <v>9998244</v>
      </c>
      <c r="S344">
        <v>14.221</v>
      </c>
      <c r="T344">
        <v>202.23679999999999</v>
      </c>
      <c r="U344">
        <v>1.0858719999999999</v>
      </c>
      <c r="V344">
        <v>1</v>
      </c>
      <c r="W344">
        <v>0</v>
      </c>
      <c r="X344">
        <v>0</v>
      </c>
    </row>
    <row r="345" spans="1:24">
      <c r="A345">
        <v>117</v>
      </c>
      <c r="B345" t="s">
        <v>1104</v>
      </c>
      <c r="C345">
        <v>116</v>
      </c>
      <c r="D345">
        <v>2000</v>
      </c>
      <c r="E345">
        <v>9.7875099999999993</v>
      </c>
      <c r="F345">
        <v>9.7875099999999993</v>
      </c>
      <c r="G345">
        <v>19</v>
      </c>
      <c r="H345">
        <v>361</v>
      </c>
      <c r="I345">
        <v>16189000</v>
      </c>
      <c r="J345">
        <v>158.44999999999999</v>
      </c>
      <c r="K345">
        <v>7</v>
      </c>
      <c r="L345">
        <v>7</v>
      </c>
      <c r="M345">
        <v>14</v>
      </c>
      <c r="N345">
        <v>-0.83</v>
      </c>
      <c r="O345">
        <v>-0.78</v>
      </c>
      <c r="P345">
        <v>1114.509</v>
      </c>
      <c r="Q345">
        <v>3345</v>
      </c>
      <c r="R345">
        <v>11189025</v>
      </c>
      <c r="S345">
        <v>16.189</v>
      </c>
      <c r="T345">
        <v>262.08370000000002</v>
      </c>
      <c r="U345">
        <v>1</v>
      </c>
      <c r="V345">
        <v>0</v>
      </c>
      <c r="W345">
        <v>1</v>
      </c>
      <c r="X345">
        <v>0</v>
      </c>
    </row>
    <row r="346" spans="1:24">
      <c r="A346">
        <v>117</v>
      </c>
      <c r="B346" t="s">
        <v>1104</v>
      </c>
      <c r="C346">
        <v>116</v>
      </c>
      <c r="D346">
        <v>2003</v>
      </c>
      <c r="E346">
        <v>9.2231629999999996</v>
      </c>
      <c r="F346">
        <v>8.7130329999999994</v>
      </c>
      <c r="G346">
        <v>16</v>
      </c>
      <c r="H346">
        <v>256</v>
      </c>
      <c r="I346">
        <v>17384490</v>
      </c>
      <c r="J346">
        <v>151.4674</v>
      </c>
      <c r="K346">
        <v>7</v>
      </c>
      <c r="L346">
        <v>7</v>
      </c>
      <c r="M346">
        <v>14</v>
      </c>
      <c r="N346">
        <v>-0.65</v>
      </c>
      <c r="O346">
        <v>-1.07</v>
      </c>
      <c r="P346">
        <v>1166.7139999999999</v>
      </c>
      <c r="Q346">
        <v>3515</v>
      </c>
      <c r="R346">
        <v>12355225</v>
      </c>
      <c r="S346">
        <v>17.384</v>
      </c>
      <c r="T346">
        <v>302.20350000000002</v>
      </c>
      <c r="U346">
        <v>0.94469000000000003</v>
      </c>
      <c r="V346">
        <v>0</v>
      </c>
      <c r="W346">
        <v>0</v>
      </c>
      <c r="X346">
        <v>1</v>
      </c>
    </row>
    <row r="347" spans="1:24">
      <c r="A347">
        <v>118</v>
      </c>
      <c r="B347" t="s">
        <v>1105</v>
      </c>
      <c r="C347">
        <v>117</v>
      </c>
      <c r="D347">
        <v>1995</v>
      </c>
      <c r="E347">
        <v>11.20823</v>
      </c>
      <c r="F347">
        <v>12.17071</v>
      </c>
      <c r="G347">
        <v>89</v>
      </c>
      <c r="H347">
        <v>7921</v>
      </c>
      <c r="I347">
        <v>5835000</v>
      </c>
      <c r="J347">
        <v>71.016069999999999</v>
      </c>
      <c r="K347">
        <v>7</v>
      </c>
      <c r="L347">
        <v>7</v>
      </c>
      <c r="M347">
        <v>14</v>
      </c>
      <c r="N347">
        <v>-1.47</v>
      </c>
      <c r="O347">
        <v>-1.88</v>
      </c>
      <c r="P347">
        <v>229.18190000000001</v>
      </c>
      <c r="Q347">
        <v>823</v>
      </c>
      <c r="R347">
        <v>677329</v>
      </c>
      <c r="S347">
        <v>5.835</v>
      </c>
      <c r="T347">
        <v>34.047229999999999</v>
      </c>
      <c r="U347">
        <v>1.0858719999999999</v>
      </c>
      <c r="V347">
        <v>1</v>
      </c>
      <c r="W347">
        <v>0</v>
      </c>
      <c r="X347">
        <v>0</v>
      </c>
    </row>
    <row r="348" spans="1:24">
      <c r="A348">
        <v>118</v>
      </c>
      <c r="B348" t="s">
        <v>1105</v>
      </c>
      <c r="C348">
        <v>117</v>
      </c>
      <c r="D348">
        <v>2000</v>
      </c>
      <c r="E348">
        <v>20.246790000000001</v>
      </c>
      <c r="F348">
        <v>20.246790000000001</v>
      </c>
      <c r="G348">
        <v>80</v>
      </c>
      <c r="H348">
        <v>6400</v>
      </c>
      <c r="I348">
        <v>6159000</v>
      </c>
      <c r="J348">
        <v>124.7</v>
      </c>
      <c r="K348">
        <v>6</v>
      </c>
      <c r="L348">
        <v>6</v>
      </c>
      <c r="M348">
        <v>12</v>
      </c>
      <c r="N348">
        <v>-1.39</v>
      </c>
      <c r="O348">
        <v>-1.33</v>
      </c>
      <c r="P348">
        <v>160.9006</v>
      </c>
      <c r="Q348">
        <v>803</v>
      </c>
      <c r="R348">
        <v>644809</v>
      </c>
      <c r="S348">
        <v>6.1589999999999998</v>
      </c>
      <c r="T348">
        <v>37.933280000000003</v>
      </c>
      <c r="U348">
        <v>1</v>
      </c>
      <c r="V348">
        <v>0</v>
      </c>
      <c r="W348">
        <v>1</v>
      </c>
      <c r="X348">
        <v>0</v>
      </c>
    </row>
    <row r="349" spans="1:24">
      <c r="A349">
        <v>118</v>
      </c>
      <c r="B349" t="s">
        <v>1105</v>
      </c>
      <c r="C349">
        <v>117</v>
      </c>
      <c r="D349">
        <v>2003</v>
      </c>
      <c r="E349">
        <v>22.65409</v>
      </c>
      <c r="F349">
        <v>21.4011</v>
      </c>
      <c r="G349">
        <v>76</v>
      </c>
      <c r="H349">
        <v>5776</v>
      </c>
      <c r="I349">
        <v>6360000</v>
      </c>
      <c r="J349">
        <v>136.11099999999999</v>
      </c>
      <c r="K349">
        <v>5</v>
      </c>
      <c r="L349">
        <v>6</v>
      </c>
      <c r="M349">
        <v>11</v>
      </c>
      <c r="N349">
        <v>-1.0900000000000001</v>
      </c>
      <c r="O349">
        <v>-1.21</v>
      </c>
      <c r="P349">
        <v>230.6568</v>
      </c>
      <c r="Q349">
        <v>1030</v>
      </c>
      <c r="R349">
        <v>1060900</v>
      </c>
      <c r="S349">
        <v>6.36</v>
      </c>
      <c r="T349">
        <v>40.449599999999997</v>
      </c>
      <c r="U349">
        <v>0.94469000000000003</v>
      </c>
      <c r="V349">
        <v>0</v>
      </c>
      <c r="W349">
        <v>0</v>
      </c>
      <c r="X349">
        <v>1</v>
      </c>
    </row>
    <row r="350" spans="1:24">
      <c r="A350">
        <v>119</v>
      </c>
      <c r="B350" t="s">
        <v>1106</v>
      </c>
      <c r="C350">
        <v>118</v>
      </c>
      <c r="D350">
        <v>1995</v>
      </c>
      <c r="E350">
        <v>29.59657</v>
      </c>
      <c r="F350">
        <v>32.138089999999998</v>
      </c>
      <c r="G350">
        <v>103</v>
      </c>
      <c r="H350">
        <v>10609</v>
      </c>
      <c r="I350">
        <v>29646000</v>
      </c>
      <c r="J350">
        <v>952.76589999999999</v>
      </c>
      <c r="K350">
        <v>5</v>
      </c>
      <c r="L350">
        <v>5</v>
      </c>
      <c r="M350">
        <v>10</v>
      </c>
      <c r="N350">
        <v>-1.18</v>
      </c>
      <c r="O350">
        <v>-0.52</v>
      </c>
      <c r="P350">
        <v>192.48859999999999</v>
      </c>
      <c r="Q350">
        <v>486</v>
      </c>
      <c r="R350">
        <v>236196</v>
      </c>
      <c r="S350">
        <v>29.646000000000001</v>
      </c>
      <c r="T350">
        <v>878.88530000000003</v>
      </c>
      <c r="U350">
        <v>1.0858719999999999</v>
      </c>
      <c r="V350">
        <v>1</v>
      </c>
      <c r="W350">
        <v>0</v>
      </c>
      <c r="X350">
        <v>0</v>
      </c>
    </row>
    <row r="351" spans="1:24">
      <c r="A351">
        <v>119</v>
      </c>
      <c r="B351" t="s">
        <v>1106</v>
      </c>
      <c r="C351">
        <v>118</v>
      </c>
      <c r="D351">
        <v>2000</v>
      </c>
      <c r="E351">
        <v>30.3309</v>
      </c>
      <c r="F351">
        <v>30.3309</v>
      </c>
      <c r="G351">
        <v>104</v>
      </c>
      <c r="H351">
        <v>10816</v>
      </c>
      <c r="I351">
        <v>33696000</v>
      </c>
      <c r="J351">
        <v>1022.03</v>
      </c>
      <c r="K351">
        <v>4</v>
      </c>
      <c r="L351">
        <v>4</v>
      </c>
      <c r="M351">
        <v>8</v>
      </c>
      <c r="N351">
        <v>-0.28000000000000003</v>
      </c>
      <c r="O351">
        <v>7.0000000000000007E-2</v>
      </c>
      <c r="P351">
        <v>269.44630000000001</v>
      </c>
      <c r="Q351">
        <v>517</v>
      </c>
      <c r="R351">
        <v>267289</v>
      </c>
      <c r="S351">
        <v>33.695999999999998</v>
      </c>
      <c r="T351">
        <v>1135.42</v>
      </c>
      <c r="U351">
        <v>1</v>
      </c>
      <c r="V351">
        <v>0</v>
      </c>
      <c r="W351">
        <v>1</v>
      </c>
      <c r="X351">
        <v>0</v>
      </c>
    </row>
    <row r="352" spans="1:24">
      <c r="A352">
        <v>119</v>
      </c>
      <c r="B352" t="s">
        <v>1106</v>
      </c>
      <c r="C352">
        <v>118</v>
      </c>
      <c r="D352">
        <v>2003</v>
      </c>
      <c r="E352">
        <v>46.513190000000002</v>
      </c>
      <c r="F352">
        <v>43.940559999999998</v>
      </c>
      <c r="G352">
        <v>104</v>
      </c>
      <c r="H352">
        <v>10816</v>
      </c>
      <c r="I352">
        <v>35888960</v>
      </c>
      <c r="J352">
        <v>1576.9829999999999</v>
      </c>
      <c r="K352">
        <v>3</v>
      </c>
      <c r="L352">
        <v>4</v>
      </c>
      <c r="M352">
        <v>7</v>
      </c>
      <c r="N352">
        <v>-0.43</v>
      </c>
      <c r="O352">
        <v>-0.52</v>
      </c>
      <c r="P352">
        <v>271.03870000000001</v>
      </c>
      <c r="Q352">
        <v>587</v>
      </c>
      <c r="R352">
        <v>344569</v>
      </c>
      <c r="S352">
        <v>35.889000000000003</v>
      </c>
      <c r="T352">
        <v>1288.02</v>
      </c>
      <c r="U352">
        <v>0.94469000000000003</v>
      </c>
      <c r="V352">
        <v>0</v>
      </c>
      <c r="W352">
        <v>0</v>
      </c>
      <c r="X352">
        <v>1</v>
      </c>
    </row>
    <row r="353" spans="1:24">
      <c r="A353">
        <v>120</v>
      </c>
      <c r="B353" t="s">
        <v>175</v>
      </c>
      <c r="C353">
        <v>119</v>
      </c>
      <c r="D353">
        <v>1995</v>
      </c>
      <c r="E353">
        <v>14.32469</v>
      </c>
      <c r="F353">
        <v>15.554779999999999</v>
      </c>
      <c r="G353">
        <v>29</v>
      </c>
      <c r="H353">
        <v>841</v>
      </c>
      <c r="I353">
        <v>58610000</v>
      </c>
      <c r="J353">
        <v>911.66579999999999</v>
      </c>
      <c r="K353">
        <v>4</v>
      </c>
      <c r="L353">
        <v>3</v>
      </c>
      <c r="M353">
        <v>7</v>
      </c>
      <c r="N353">
        <v>0.47</v>
      </c>
      <c r="O353">
        <v>0.49</v>
      </c>
      <c r="P353">
        <v>3110.6190000000001</v>
      </c>
      <c r="Q353">
        <v>6438</v>
      </c>
      <c r="R353">
        <v>41447844</v>
      </c>
      <c r="S353">
        <v>58.61</v>
      </c>
      <c r="T353">
        <v>3435.1320000000001</v>
      </c>
      <c r="U353">
        <v>1.0858719999999999</v>
      </c>
      <c r="V353">
        <v>1</v>
      </c>
      <c r="W353">
        <v>0</v>
      </c>
      <c r="X353">
        <v>0</v>
      </c>
    </row>
    <row r="354" spans="1:24">
      <c r="A354">
        <v>120</v>
      </c>
      <c r="B354" t="s">
        <v>175</v>
      </c>
      <c r="C354">
        <v>119</v>
      </c>
      <c r="D354">
        <v>2000</v>
      </c>
      <c r="E354">
        <v>11.4998</v>
      </c>
      <c r="F354">
        <v>11.4998</v>
      </c>
      <c r="G354">
        <v>25</v>
      </c>
      <c r="H354">
        <v>625</v>
      </c>
      <c r="I354">
        <v>60728000</v>
      </c>
      <c r="J354">
        <v>698.35990000000004</v>
      </c>
      <c r="K354">
        <v>3</v>
      </c>
      <c r="L354">
        <v>2</v>
      </c>
      <c r="M354">
        <v>5</v>
      </c>
      <c r="N354">
        <v>0.2</v>
      </c>
      <c r="O354">
        <v>0.7</v>
      </c>
      <c r="P354">
        <v>2020.9</v>
      </c>
      <c r="Q354">
        <v>6350</v>
      </c>
      <c r="R354">
        <v>40322500</v>
      </c>
      <c r="S354">
        <v>60.728000000000002</v>
      </c>
      <c r="T354">
        <v>3687.89</v>
      </c>
      <c r="U354">
        <v>1</v>
      </c>
      <c r="V354">
        <v>0</v>
      </c>
      <c r="W354">
        <v>1</v>
      </c>
      <c r="X354">
        <v>0</v>
      </c>
    </row>
    <row r="355" spans="1:24">
      <c r="A355">
        <v>121</v>
      </c>
      <c r="B355" t="s">
        <v>1107</v>
      </c>
      <c r="C355">
        <v>120</v>
      </c>
      <c r="D355">
        <v>1995</v>
      </c>
      <c r="E355">
        <v>49.702770000000001</v>
      </c>
      <c r="F355">
        <v>53.970860000000002</v>
      </c>
      <c r="G355">
        <v>83</v>
      </c>
      <c r="H355">
        <v>6889</v>
      </c>
      <c r="I355">
        <v>3869000</v>
      </c>
      <c r="J355">
        <v>208.81319999999999</v>
      </c>
      <c r="K355">
        <v>5</v>
      </c>
      <c r="L355">
        <v>6</v>
      </c>
      <c r="M355">
        <v>11</v>
      </c>
      <c r="N355">
        <v>-0.66</v>
      </c>
      <c r="O355">
        <v>0.24</v>
      </c>
      <c r="P355">
        <v>367.48989999999998</v>
      </c>
      <c r="Q355">
        <v>1527</v>
      </c>
      <c r="R355">
        <v>2331729</v>
      </c>
      <c r="S355">
        <v>3.8690000000000002</v>
      </c>
      <c r="T355">
        <v>14.96916</v>
      </c>
      <c r="U355">
        <v>1.0858719999999999</v>
      </c>
      <c r="V355">
        <v>1</v>
      </c>
      <c r="W355">
        <v>0</v>
      </c>
      <c r="X355">
        <v>0</v>
      </c>
    </row>
    <row r="356" spans="1:24">
      <c r="A356">
        <v>121</v>
      </c>
      <c r="B356" t="s">
        <v>1107</v>
      </c>
      <c r="C356">
        <v>120</v>
      </c>
      <c r="D356">
        <v>2000</v>
      </c>
      <c r="E356">
        <v>15.298109999999999</v>
      </c>
      <c r="F356">
        <v>15.298109999999999</v>
      </c>
      <c r="G356">
        <v>80</v>
      </c>
      <c r="H356">
        <v>6400</v>
      </c>
      <c r="I356">
        <v>4562000</v>
      </c>
      <c r="J356">
        <v>69.78998</v>
      </c>
      <c r="K356">
        <v>5</v>
      </c>
      <c r="L356">
        <v>5</v>
      </c>
      <c r="M356">
        <v>10</v>
      </c>
      <c r="N356">
        <v>-1.4</v>
      </c>
      <c r="O356">
        <v>-0.47</v>
      </c>
      <c r="P356">
        <v>291.34370000000001</v>
      </c>
      <c r="Q356">
        <v>1580</v>
      </c>
      <c r="R356">
        <v>2496400</v>
      </c>
      <c r="S356">
        <v>4.5620000000000003</v>
      </c>
      <c r="T356">
        <v>20.81184</v>
      </c>
      <c r="U356">
        <v>1</v>
      </c>
      <c r="V356">
        <v>0</v>
      </c>
      <c r="W356">
        <v>1</v>
      </c>
      <c r="X356">
        <v>0</v>
      </c>
    </row>
    <row r="357" spans="1:24">
      <c r="A357">
        <v>121</v>
      </c>
      <c r="B357" t="s">
        <v>1107</v>
      </c>
      <c r="C357">
        <v>120</v>
      </c>
      <c r="D357">
        <v>2003</v>
      </c>
      <c r="E357">
        <v>9.2193900000000006</v>
      </c>
      <c r="F357">
        <v>8.7094679999999993</v>
      </c>
      <c r="G357">
        <v>78</v>
      </c>
      <c r="H357">
        <v>6084</v>
      </c>
      <c r="I357">
        <v>4861493</v>
      </c>
      <c r="J357">
        <v>42.336730000000003</v>
      </c>
      <c r="K357">
        <v>5</v>
      </c>
      <c r="L357">
        <v>6</v>
      </c>
      <c r="M357">
        <v>11</v>
      </c>
      <c r="N357">
        <v>-1.23</v>
      </c>
      <c r="O357">
        <v>-0.69</v>
      </c>
      <c r="P357">
        <v>341.80040000000002</v>
      </c>
      <c r="Q357">
        <v>1605</v>
      </c>
      <c r="R357">
        <v>2576025</v>
      </c>
      <c r="S357">
        <v>4.8609999999999998</v>
      </c>
      <c r="T357">
        <v>23.62932</v>
      </c>
      <c r="U357">
        <v>0.94469000000000003</v>
      </c>
      <c r="V357">
        <v>0</v>
      </c>
      <c r="W357">
        <v>0</v>
      </c>
      <c r="X357">
        <v>1</v>
      </c>
    </row>
    <row r="358" spans="1:24">
      <c r="A358">
        <v>122</v>
      </c>
      <c r="B358" t="s">
        <v>1108</v>
      </c>
      <c r="C358">
        <v>121</v>
      </c>
      <c r="D358">
        <v>1995</v>
      </c>
      <c r="E358">
        <v>400.82470000000001</v>
      </c>
      <c r="F358">
        <v>435.24439999999998</v>
      </c>
      <c r="G358">
        <v>20</v>
      </c>
      <c r="H358">
        <v>400</v>
      </c>
      <c r="I358">
        <v>97000</v>
      </c>
      <c r="J358">
        <v>42.218710000000002</v>
      </c>
      <c r="K358">
        <v>3</v>
      </c>
      <c r="L358">
        <v>5</v>
      </c>
      <c r="M358">
        <v>8</v>
      </c>
      <c r="N358">
        <v>-0.19</v>
      </c>
      <c r="O358">
        <v>-0.14000000000000001</v>
      </c>
      <c r="P358">
        <v>1731.7059999999999</v>
      </c>
      <c r="Q358">
        <v>5758</v>
      </c>
      <c r="R358">
        <v>33154564</v>
      </c>
      <c r="S358">
        <v>9.7000000000000003E-2</v>
      </c>
      <c r="T358">
        <v>9.4090000000000007E-3</v>
      </c>
      <c r="U358">
        <v>1.0858719999999999</v>
      </c>
      <c r="V358">
        <v>1</v>
      </c>
      <c r="W358">
        <v>0</v>
      </c>
      <c r="X358">
        <v>0</v>
      </c>
    </row>
    <row r="359" spans="1:24">
      <c r="A359">
        <v>122</v>
      </c>
      <c r="B359" t="s">
        <v>1108</v>
      </c>
      <c r="C359">
        <v>121</v>
      </c>
      <c r="D359">
        <v>2000</v>
      </c>
      <c r="E359">
        <v>187.8244</v>
      </c>
      <c r="F359">
        <v>187.8244</v>
      </c>
      <c r="G359">
        <v>17</v>
      </c>
      <c r="H359">
        <v>289</v>
      </c>
      <c r="I359">
        <v>100200</v>
      </c>
      <c r="J359">
        <v>18.782440000000001</v>
      </c>
      <c r="K359">
        <v>3</v>
      </c>
      <c r="L359">
        <v>5</v>
      </c>
      <c r="M359">
        <v>8</v>
      </c>
      <c r="N359">
        <v>-0.47</v>
      </c>
      <c r="O359">
        <v>-0.18</v>
      </c>
      <c r="P359">
        <v>1531.557</v>
      </c>
      <c r="Q359">
        <v>6230</v>
      </c>
      <c r="R359">
        <v>38812900</v>
      </c>
      <c r="S359">
        <v>0.1</v>
      </c>
      <c r="T359">
        <v>0.01</v>
      </c>
      <c r="U359">
        <v>1</v>
      </c>
      <c r="V359">
        <v>0</v>
      </c>
      <c r="W359">
        <v>1</v>
      </c>
      <c r="X359">
        <v>0</v>
      </c>
    </row>
    <row r="360" spans="1:24">
      <c r="A360">
        <v>122</v>
      </c>
      <c r="B360" t="s">
        <v>1108</v>
      </c>
      <c r="C360">
        <v>121</v>
      </c>
      <c r="D360">
        <v>2003</v>
      </c>
      <c r="E360">
        <v>270.47770000000003</v>
      </c>
      <c r="F360">
        <v>255.51769999999999</v>
      </c>
      <c r="G360">
        <v>15</v>
      </c>
      <c r="H360">
        <v>225</v>
      </c>
      <c r="I360">
        <v>101524</v>
      </c>
      <c r="J360">
        <v>26.062799999999999</v>
      </c>
      <c r="K360">
        <v>3</v>
      </c>
      <c r="L360">
        <v>5</v>
      </c>
      <c r="M360">
        <v>8</v>
      </c>
      <c r="N360">
        <v>-0.59</v>
      </c>
      <c r="O360">
        <v>-0.82</v>
      </c>
      <c r="P360">
        <v>1568.107</v>
      </c>
      <c r="Q360">
        <v>6659</v>
      </c>
      <c r="R360">
        <v>44342281</v>
      </c>
      <c r="S360">
        <v>0.10199999999999999</v>
      </c>
      <c r="T360">
        <v>1.0404E-2</v>
      </c>
      <c r="U360">
        <v>0.94469000000000003</v>
      </c>
      <c r="V360">
        <v>0</v>
      </c>
      <c r="W360">
        <v>0</v>
      </c>
      <c r="X360">
        <v>1</v>
      </c>
    </row>
    <row r="361" spans="1:24">
      <c r="A361">
        <v>123</v>
      </c>
      <c r="B361" t="s">
        <v>1109</v>
      </c>
      <c r="C361">
        <v>122</v>
      </c>
      <c r="D361">
        <v>1995</v>
      </c>
      <c r="E361">
        <v>8.3974320000000002</v>
      </c>
      <c r="F361">
        <v>9.1185379999999991</v>
      </c>
      <c r="G361">
        <v>29</v>
      </c>
      <c r="H361">
        <v>841</v>
      </c>
      <c r="I361">
        <v>8957500</v>
      </c>
      <c r="J361">
        <v>81.683859999999996</v>
      </c>
      <c r="K361">
        <v>5</v>
      </c>
      <c r="L361">
        <v>6</v>
      </c>
      <c r="M361">
        <v>11</v>
      </c>
      <c r="N361">
        <v>0.49</v>
      </c>
      <c r="O361">
        <v>0.05</v>
      </c>
      <c r="P361">
        <v>2180.703</v>
      </c>
      <c r="Q361">
        <v>5083</v>
      </c>
      <c r="R361">
        <v>25836889</v>
      </c>
      <c r="S361">
        <v>8.9580000000000002</v>
      </c>
      <c r="T361">
        <v>80.245760000000004</v>
      </c>
      <c r="U361">
        <v>1.0858719999999999</v>
      </c>
      <c r="V361">
        <v>1</v>
      </c>
      <c r="W361">
        <v>0</v>
      </c>
      <c r="X361">
        <v>0</v>
      </c>
    </row>
    <row r="362" spans="1:24">
      <c r="A362">
        <v>123</v>
      </c>
      <c r="B362" t="s">
        <v>1109</v>
      </c>
      <c r="C362">
        <v>122</v>
      </c>
      <c r="D362">
        <v>2000</v>
      </c>
      <c r="E362">
        <v>23.291679999999999</v>
      </c>
      <c r="F362">
        <v>23.291679999999999</v>
      </c>
      <c r="G362">
        <v>22</v>
      </c>
      <c r="H362">
        <v>484</v>
      </c>
      <c r="I362">
        <v>9563500</v>
      </c>
      <c r="J362">
        <v>222.76159999999999</v>
      </c>
      <c r="K362">
        <v>5</v>
      </c>
      <c r="L362">
        <v>6</v>
      </c>
      <c r="M362">
        <v>11</v>
      </c>
      <c r="N362">
        <v>1.24</v>
      </c>
      <c r="O362">
        <v>0.37</v>
      </c>
      <c r="P362">
        <v>2035.6949999999999</v>
      </c>
      <c r="Q362">
        <v>6252</v>
      </c>
      <c r="R362">
        <v>39087504</v>
      </c>
      <c r="S362">
        <v>9.5640000000000001</v>
      </c>
      <c r="T362">
        <v>91.470100000000002</v>
      </c>
      <c r="U362">
        <v>1</v>
      </c>
      <c r="V362">
        <v>0</v>
      </c>
      <c r="W362">
        <v>1</v>
      </c>
      <c r="X362">
        <v>0</v>
      </c>
    </row>
    <row r="363" spans="1:24">
      <c r="A363">
        <v>123</v>
      </c>
      <c r="B363" t="s">
        <v>1109</v>
      </c>
      <c r="C363">
        <v>122</v>
      </c>
      <c r="D363">
        <v>2003</v>
      </c>
      <c r="E363">
        <v>30.873550000000002</v>
      </c>
      <c r="F363">
        <v>29.165939999999999</v>
      </c>
      <c r="G363">
        <v>19</v>
      </c>
      <c r="H363">
        <v>361</v>
      </c>
      <c r="I363">
        <v>9895201</v>
      </c>
      <c r="J363">
        <v>288.59699999999998</v>
      </c>
      <c r="K363">
        <v>5</v>
      </c>
      <c r="L363">
        <v>6</v>
      </c>
      <c r="M363">
        <v>11</v>
      </c>
      <c r="N363">
        <v>0.62</v>
      </c>
      <c r="O363">
        <v>-0.13</v>
      </c>
      <c r="P363">
        <v>2390.3020000000001</v>
      </c>
      <c r="Q363">
        <v>6765</v>
      </c>
      <c r="R363">
        <v>45765225</v>
      </c>
      <c r="S363">
        <v>9.8949999999999996</v>
      </c>
      <c r="T363">
        <v>97.911029999999997</v>
      </c>
      <c r="U363">
        <v>0.94469000000000003</v>
      </c>
      <c r="V363">
        <v>0</v>
      </c>
      <c r="W363">
        <v>0</v>
      </c>
      <c r="X363">
        <v>1</v>
      </c>
    </row>
    <row r="364" spans="1:24">
      <c r="A364">
        <v>124</v>
      </c>
      <c r="B364" t="s">
        <v>285</v>
      </c>
      <c r="C364">
        <v>123</v>
      </c>
      <c r="D364">
        <v>1995</v>
      </c>
      <c r="E364">
        <v>5.0810690000000003</v>
      </c>
      <c r="F364">
        <v>5.5173920000000001</v>
      </c>
      <c r="G364">
        <v>50</v>
      </c>
      <c r="H364">
        <v>2500</v>
      </c>
      <c r="I364">
        <v>61737000</v>
      </c>
      <c r="J364">
        <v>340.62720000000002</v>
      </c>
      <c r="K364">
        <v>5</v>
      </c>
      <c r="L364">
        <v>5</v>
      </c>
      <c r="M364">
        <v>10</v>
      </c>
      <c r="N364">
        <v>0.01</v>
      </c>
      <c r="O364">
        <v>0.51</v>
      </c>
      <c r="P364">
        <v>2978.0889999999999</v>
      </c>
      <c r="Q364">
        <v>5845</v>
      </c>
      <c r="R364">
        <v>34164025</v>
      </c>
      <c r="S364">
        <v>61.737000000000002</v>
      </c>
      <c r="T364">
        <v>3811.4569999999999</v>
      </c>
      <c r="U364">
        <v>1.0858719999999999</v>
      </c>
      <c r="V364">
        <v>1</v>
      </c>
      <c r="W364">
        <v>0</v>
      </c>
      <c r="X364">
        <v>0</v>
      </c>
    </row>
    <row r="365" spans="1:24">
      <c r="A365">
        <v>124</v>
      </c>
      <c r="B365" t="s">
        <v>285</v>
      </c>
      <c r="C365">
        <v>123</v>
      </c>
      <c r="D365">
        <v>2000</v>
      </c>
      <c r="E365">
        <v>4.8527149999999999</v>
      </c>
      <c r="F365">
        <v>4.8527149999999999</v>
      </c>
      <c r="G365">
        <v>38</v>
      </c>
      <c r="H365">
        <v>1444</v>
      </c>
      <c r="I365">
        <v>67420000</v>
      </c>
      <c r="J365">
        <v>327.17</v>
      </c>
      <c r="K365">
        <v>5</v>
      </c>
      <c r="L365">
        <v>4</v>
      </c>
      <c r="M365">
        <v>9</v>
      </c>
      <c r="N365">
        <v>-7.0000000000000007E-2</v>
      </c>
      <c r="O365">
        <v>0.24</v>
      </c>
      <c r="P365">
        <v>2955.6109999999999</v>
      </c>
      <c r="Q365">
        <v>6519</v>
      </c>
      <c r="R365">
        <v>42497361</v>
      </c>
      <c r="S365">
        <v>67.42</v>
      </c>
      <c r="T365">
        <v>4545.4560000000001</v>
      </c>
      <c r="U365">
        <v>1</v>
      </c>
      <c r="V365">
        <v>0</v>
      </c>
      <c r="W365">
        <v>1</v>
      </c>
      <c r="X365">
        <v>0</v>
      </c>
    </row>
    <row r="366" spans="1:24">
      <c r="A366">
        <v>124</v>
      </c>
      <c r="B366" t="s">
        <v>285</v>
      </c>
      <c r="C366">
        <v>123</v>
      </c>
      <c r="D366">
        <v>2003</v>
      </c>
      <c r="E366">
        <v>2.3451460000000002</v>
      </c>
      <c r="F366">
        <v>2.2154370000000001</v>
      </c>
      <c r="G366">
        <v>33</v>
      </c>
      <c r="H366">
        <v>1089</v>
      </c>
      <c r="I366">
        <v>70712000</v>
      </c>
      <c r="J366">
        <v>156.65799999999999</v>
      </c>
      <c r="K366">
        <v>4</v>
      </c>
      <c r="L366">
        <v>3</v>
      </c>
      <c r="M366">
        <v>7</v>
      </c>
      <c r="N366">
        <v>-7.0000000000000007E-2</v>
      </c>
      <c r="O366">
        <v>-0.01</v>
      </c>
      <c r="P366">
        <v>3211.346</v>
      </c>
      <c r="Q366">
        <v>6677</v>
      </c>
      <c r="R366">
        <v>44582329</v>
      </c>
      <c r="S366">
        <v>70.712000000000003</v>
      </c>
      <c r="T366">
        <v>5000.1869999999999</v>
      </c>
      <c r="U366">
        <v>0.94469000000000003</v>
      </c>
      <c r="V366">
        <v>0</v>
      </c>
      <c r="W366">
        <v>0</v>
      </c>
      <c r="X366">
        <v>1</v>
      </c>
    </row>
    <row r="367" spans="1:24">
      <c r="A367">
        <v>125</v>
      </c>
      <c r="B367" t="s">
        <v>1110</v>
      </c>
      <c r="C367">
        <v>124</v>
      </c>
      <c r="D367">
        <v>1995</v>
      </c>
      <c r="E367">
        <v>6.64133</v>
      </c>
      <c r="F367">
        <v>7.2116360000000004</v>
      </c>
      <c r="G367">
        <v>72</v>
      </c>
      <c r="H367">
        <v>5184</v>
      </c>
      <c r="I367">
        <v>4210000</v>
      </c>
      <c r="J367">
        <v>30.360990000000001</v>
      </c>
      <c r="K367">
        <v>7</v>
      </c>
      <c r="L367">
        <v>7</v>
      </c>
      <c r="M367">
        <v>14</v>
      </c>
      <c r="N367">
        <v>-1.36</v>
      </c>
      <c r="O367">
        <v>-2.68</v>
      </c>
      <c r="P367">
        <v>631.81820000000005</v>
      </c>
      <c r="Q367">
        <v>3087</v>
      </c>
      <c r="R367">
        <v>9529569</v>
      </c>
      <c r="S367">
        <v>4.21</v>
      </c>
      <c r="T367">
        <v>17.7241</v>
      </c>
      <c r="U367">
        <v>1.0858719999999999</v>
      </c>
      <c r="V367">
        <v>1</v>
      </c>
      <c r="W367">
        <v>0</v>
      </c>
      <c r="X367">
        <v>0</v>
      </c>
    </row>
    <row r="368" spans="1:24">
      <c r="A368">
        <v>125</v>
      </c>
      <c r="B368" t="s">
        <v>1110</v>
      </c>
      <c r="C368">
        <v>124</v>
      </c>
      <c r="D368">
        <v>2000</v>
      </c>
      <c r="E368">
        <v>6.7865609999999998</v>
      </c>
      <c r="F368">
        <v>6.7865609999999998</v>
      </c>
      <c r="G368">
        <v>77</v>
      </c>
      <c r="H368">
        <v>5929</v>
      </c>
      <c r="I368">
        <v>4643000</v>
      </c>
      <c r="J368">
        <v>31.51</v>
      </c>
      <c r="K368">
        <v>7</v>
      </c>
      <c r="L368">
        <v>7</v>
      </c>
      <c r="M368">
        <v>14</v>
      </c>
      <c r="N368">
        <v>-1.38</v>
      </c>
      <c r="O368">
        <v>-2.1800000000000002</v>
      </c>
      <c r="P368">
        <v>614.41309999999999</v>
      </c>
      <c r="Q368">
        <v>3668</v>
      </c>
      <c r="R368">
        <v>13454224</v>
      </c>
      <c r="S368">
        <v>4.6429999999999998</v>
      </c>
      <c r="T368">
        <v>21.557449999999999</v>
      </c>
      <c r="U368">
        <v>1</v>
      </c>
      <c r="V368">
        <v>0</v>
      </c>
      <c r="W368">
        <v>1</v>
      </c>
      <c r="X368">
        <v>0</v>
      </c>
    </row>
    <row r="369" spans="1:24">
      <c r="A369">
        <v>125</v>
      </c>
      <c r="B369" t="s">
        <v>1110</v>
      </c>
      <c r="C369">
        <v>124</v>
      </c>
      <c r="D369">
        <v>2003</v>
      </c>
      <c r="E369">
        <v>5.5865119999999999</v>
      </c>
      <c r="F369">
        <v>5.2775239999999997</v>
      </c>
      <c r="G369">
        <v>79</v>
      </c>
      <c r="H369">
        <v>6241</v>
      </c>
      <c r="I369">
        <v>4863500</v>
      </c>
      <c r="J369">
        <v>25.669879999999999</v>
      </c>
      <c r="K369">
        <v>7</v>
      </c>
      <c r="L369">
        <v>7</v>
      </c>
      <c r="M369">
        <v>14</v>
      </c>
      <c r="N369">
        <v>-1.44</v>
      </c>
      <c r="O369">
        <v>-2.06</v>
      </c>
      <c r="P369">
        <v>1133.8689999999999</v>
      </c>
      <c r="Q369">
        <v>5614</v>
      </c>
      <c r="R369">
        <v>31516996</v>
      </c>
      <c r="S369">
        <v>4.8639999999999999</v>
      </c>
      <c r="T369">
        <v>23.6585</v>
      </c>
      <c r="U369">
        <v>0.94469000000000003</v>
      </c>
      <c r="V369">
        <v>0</v>
      </c>
      <c r="W369">
        <v>0</v>
      </c>
      <c r="X369">
        <v>1</v>
      </c>
    </row>
    <row r="370" spans="1:24">
      <c r="A370">
        <v>126</v>
      </c>
      <c r="B370" t="s">
        <v>1111</v>
      </c>
      <c r="C370">
        <v>125</v>
      </c>
      <c r="D370">
        <v>1995</v>
      </c>
      <c r="E370">
        <v>41.181809999999999</v>
      </c>
      <c r="F370">
        <v>44.718179999999997</v>
      </c>
      <c r="G370">
        <v>92</v>
      </c>
      <c r="H370">
        <v>8464</v>
      </c>
      <c r="I370">
        <v>20274000</v>
      </c>
      <c r="J370">
        <v>906.6164</v>
      </c>
      <c r="K370">
        <v>4</v>
      </c>
      <c r="L370">
        <v>5</v>
      </c>
      <c r="M370">
        <v>9</v>
      </c>
      <c r="N370">
        <v>-0.37</v>
      </c>
      <c r="O370">
        <v>0.1</v>
      </c>
      <c r="P370">
        <v>308.28070000000002</v>
      </c>
      <c r="Q370">
        <v>1062</v>
      </c>
      <c r="R370">
        <v>1127844</v>
      </c>
      <c r="S370">
        <v>20.274000000000001</v>
      </c>
      <c r="T370">
        <v>411.0351</v>
      </c>
      <c r="U370">
        <v>1.0858719999999999</v>
      </c>
      <c r="V370">
        <v>1</v>
      </c>
      <c r="W370">
        <v>0</v>
      </c>
      <c r="X370">
        <v>0</v>
      </c>
    </row>
    <row r="371" spans="1:24">
      <c r="A371">
        <v>126</v>
      </c>
      <c r="B371" t="s">
        <v>1111</v>
      </c>
      <c r="C371">
        <v>125</v>
      </c>
      <c r="D371">
        <v>2000</v>
      </c>
      <c r="E371">
        <v>35.244729999999997</v>
      </c>
      <c r="F371">
        <v>35.244729999999997</v>
      </c>
      <c r="G371">
        <v>85</v>
      </c>
      <c r="H371">
        <v>7225</v>
      </c>
      <c r="I371">
        <v>23250000</v>
      </c>
      <c r="J371">
        <v>819.44</v>
      </c>
      <c r="K371">
        <v>5</v>
      </c>
      <c r="L371">
        <v>6</v>
      </c>
      <c r="M371">
        <v>11</v>
      </c>
      <c r="N371">
        <v>-0.16</v>
      </c>
      <c r="O371">
        <v>0.16</v>
      </c>
      <c r="P371">
        <v>253.28210000000001</v>
      </c>
      <c r="Q371">
        <v>1284</v>
      </c>
      <c r="R371">
        <v>1648656</v>
      </c>
      <c r="S371">
        <v>23.25</v>
      </c>
      <c r="T371">
        <v>540.5625</v>
      </c>
      <c r="U371">
        <v>1</v>
      </c>
      <c r="V371">
        <v>0</v>
      </c>
      <c r="W371">
        <v>1</v>
      </c>
      <c r="X371">
        <v>0</v>
      </c>
    </row>
    <row r="372" spans="1:24">
      <c r="A372">
        <v>126</v>
      </c>
      <c r="B372" t="s">
        <v>1111</v>
      </c>
      <c r="C372">
        <v>125</v>
      </c>
      <c r="D372">
        <v>2003</v>
      </c>
      <c r="E372">
        <v>37.952530000000003</v>
      </c>
      <c r="F372">
        <v>35.853389999999997</v>
      </c>
      <c r="G372">
        <v>81</v>
      </c>
      <c r="H372">
        <v>6561</v>
      </c>
      <c r="I372">
        <v>25280000</v>
      </c>
      <c r="J372">
        <v>906.37360000000001</v>
      </c>
      <c r="K372">
        <v>4</v>
      </c>
      <c r="L372">
        <v>5</v>
      </c>
      <c r="M372">
        <v>9</v>
      </c>
      <c r="N372">
        <v>-0.4</v>
      </c>
      <c r="O372">
        <v>0.02</v>
      </c>
      <c r="P372">
        <v>235.29839999999999</v>
      </c>
      <c r="Q372">
        <v>1397</v>
      </c>
      <c r="R372">
        <v>1951609</v>
      </c>
      <c r="S372">
        <v>25.28</v>
      </c>
      <c r="T372">
        <v>639.07839999999999</v>
      </c>
      <c r="U372">
        <v>0.94469000000000003</v>
      </c>
      <c r="V372">
        <v>0</v>
      </c>
      <c r="W372">
        <v>0</v>
      </c>
      <c r="X372">
        <v>1</v>
      </c>
    </row>
    <row r="373" spans="1:24">
      <c r="A373">
        <v>127</v>
      </c>
      <c r="B373" t="s">
        <v>287</v>
      </c>
      <c r="C373">
        <v>126</v>
      </c>
      <c r="D373">
        <v>1995</v>
      </c>
      <c r="E373">
        <v>6.204809</v>
      </c>
      <c r="F373">
        <v>6.7376300000000002</v>
      </c>
      <c r="G373">
        <v>20</v>
      </c>
      <c r="H373">
        <v>400</v>
      </c>
      <c r="I373">
        <v>51531000</v>
      </c>
      <c r="J373">
        <v>347.1968</v>
      </c>
      <c r="K373">
        <v>4</v>
      </c>
      <c r="L373">
        <v>3</v>
      </c>
      <c r="M373">
        <v>7</v>
      </c>
      <c r="N373">
        <v>-0.61</v>
      </c>
      <c r="O373">
        <v>-0.59</v>
      </c>
      <c r="P373">
        <v>1015.973</v>
      </c>
      <c r="Q373">
        <v>4302</v>
      </c>
      <c r="R373">
        <v>18507204</v>
      </c>
      <c r="S373">
        <v>51.530999999999999</v>
      </c>
      <c r="T373">
        <v>2655.444</v>
      </c>
      <c r="U373">
        <v>1.0858719999999999</v>
      </c>
      <c r="V373">
        <v>1</v>
      </c>
      <c r="W373">
        <v>0</v>
      </c>
      <c r="X373">
        <v>0</v>
      </c>
    </row>
    <row r="374" spans="1:24">
      <c r="A374">
        <v>127</v>
      </c>
      <c r="B374" t="s">
        <v>287</v>
      </c>
      <c r="C374">
        <v>126</v>
      </c>
      <c r="D374">
        <v>2000</v>
      </c>
      <c r="E374">
        <v>10.933109999999999</v>
      </c>
      <c r="F374">
        <v>10.933109999999999</v>
      </c>
      <c r="G374">
        <v>17</v>
      </c>
      <c r="H374">
        <v>289</v>
      </c>
      <c r="I374">
        <v>49501000</v>
      </c>
      <c r="J374">
        <v>541.19989999999996</v>
      </c>
      <c r="K374">
        <v>4</v>
      </c>
      <c r="L374">
        <v>4</v>
      </c>
      <c r="M374">
        <v>8</v>
      </c>
      <c r="N374">
        <v>-0.78</v>
      </c>
      <c r="O374">
        <v>-1.22</v>
      </c>
      <c r="P374">
        <v>631.53330000000005</v>
      </c>
      <c r="Q374">
        <v>4109</v>
      </c>
      <c r="R374">
        <v>16883881</v>
      </c>
      <c r="S374">
        <v>49.500999999999998</v>
      </c>
      <c r="T374">
        <v>2450.3490000000002</v>
      </c>
      <c r="U374">
        <v>1</v>
      </c>
      <c r="V374">
        <v>0</v>
      </c>
      <c r="W374">
        <v>1</v>
      </c>
      <c r="X374">
        <v>0</v>
      </c>
    </row>
    <row r="375" spans="1:24">
      <c r="A375">
        <v>127</v>
      </c>
      <c r="B375" t="s">
        <v>287</v>
      </c>
      <c r="C375">
        <v>126</v>
      </c>
      <c r="D375">
        <v>2003</v>
      </c>
      <c r="E375">
        <v>6.6765660000000002</v>
      </c>
      <c r="F375">
        <v>6.3072869999999996</v>
      </c>
      <c r="G375">
        <v>15</v>
      </c>
      <c r="H375">
        <v>225</v>
      </c>
      <c r="I375">
        <v>48355700</v>
      </c>
      <c r="J375">
        <v>304.99520000000001</v>
      </c>
      <c r="K375">
        <v>4</v>
      </c>
      <c r="L375">
        <v>4</v>
      </c>
      <c r="M375">
        <v>8</v>
      </c>
      <c r="N375">
        <v>-0.71</v>
      </c>
      <c r="O375">
        <v>-0.55000000000000004</v>
      </c>
      <c r="P375">
        <v>979.41129999999998</v>
      </c>
      <c r="Q375">
        <v>5187</v>
      </c>
      <c r="R375">
        <v>26904969</v>
      </c>
      <c r="S375">
        <v>48.356000000000002</v>
      </c>
      <c r="T375">
        <v>2338.3029999999999</v>
      </c>
      <c r="U375">
        <v>0.94469000000000003</v>
      </c>
      <c r="V375">
        <v>0</v>
      </c>
      <c r="W375">
        <v>0</v>
      </c>
      <c r="X375">
        <v>1</v>
      </c>
    </row>
    <row r="376" spans="1:24">
      <c r="A376">
        <v>128</v>
      </c>
      <c r="B376" t="s">
        <v>289</v>
      </c>
      <c r="C376">
        <v>127</v>
      </c>
      <c r="D376">
        <v>1995</v>
      </c>
      <c r="E376">
        <v>21.053450000000002</v>
      </c>
      <c r="F376">
        <v>22.861360000000001</v>
      </c>
      <c r="G376">
        <v>20</v>
      </c>
      <c r="H376">
        <v>400</v>
      </c>
      <c r="I376">
        <v>3218000</v>
      </c>
      <c r="J376">
        <v>73.567840000000004</v>
      </c>
      <c r="K376">
        <v>2</v>
      </c>
      <c r="L376">
        <v>2</v>
      </c>
      <c r="M376">
        <v>4</v>
      </c>
      <c r="N376">
        <v>0.61</v>
      </c>
      <c r="O376">
        <v>0.97</v>
      </c>
      <c r="P376">
        <v>6511.7439999999997</v>
      </c>
      <c r="Q376">
        <v>8228</v>
      </c>
      <c r="R376">
        <v>67699984</v>
      </c>
      <c r="S376">
        <v>3.218</v>
      </c>
      <c r="T376">
        <v>10.35552</v>
      </c>
      <c r="U376">
        <v>1.0858719999999999</v>
      </c>
      <c r="V376">
        <v>1</v>
      </c>
      <c r="W376">
        <v>0</v>
      </c>
      <c r="X376">
        <v>0</v>
      </c>
    </row>
    <row r="377" spans="1:24">
      <c r="A377">
        <v>128</v>
      </c>
      <c r="B377" t="s">
        <v>289</v>
      </c>
      <c r="C377">
        <v>127</v>
      </c>
      <c r="D377">
        <v>2000</v>
      </c>
      <c r="E377">
        <v>5.2526380000000001</v>
      </c>
      <c r="F377">
        <v>5.2526380000000001</v>
      </c>
      <c r="G377">
        <v>15</v>
      </c>
      <c r="H377">
        <v>225</v>
      </c>
      <c r="I377">
        <v>3322140</v>
      </c>
      <c r="J377">
        <v>17.449259999999999</v>
      </c>
      <c r="K377">
        <v>1</v>
      </c>
      <c r="L377">
        <v>1</v>
      </c>
      <c r="M377">
        <v>2</v>
      </c>
      <c r="N377">
        <v>0.71</v>
      </c>
      <c r="O377">
        <v>1.05</v>
      </c>
      <c r="P377">
        <v>6045.9639999999999</v>
      </c>
      <c r="Q377">
        <v>8832</v>
      </c>
      <c r="R377">
        <v>78004224</v>
      </c>
      <c r="S377">
        <v>3.3220000000000001</v>
      </c>
      <c r="T377">
        <v>11.035679999999999</v>
      </c>
      <c r="U377">
        <v>1</v>
      </c>
      <c r="V377">
        <v>0</v>
      </c>
      <c r="W377">
        <v>1</v>
      </c>
      <c r="X377">
        <v>0</v>
      </c>
    </row>
    <row r="378" spans="1:24">
      <c r="A378">
        <v>128</v>
      </c>
      <c r="B378" t="s">
        <v>289</v>
      </c>
      <c r="C378">
        <v>127</v>
      </c>
      <c r="D378">
        <v>2003</v>
      </c>
      <c r="E378">
        <v>4.955362</v>
      </c>
      <c r="F378">
        <v>4.6812820000000004</v>
      </c>
      <c r="G378">
        <v>12</v>
      </c>
      <c r="H378">
        <v>144</v>
      </c>
      <c r="I378">
        <v>3380177</v>
      </c>
      <c r="J378">
        <v>15.82273</v>
      </c>
      <c r="K378">
        <v>1</v>
      </c>
      <c r="L378">
        <v>1</v>
      </c>
      <c r="M378">
        <v>2</v>
      </c>
      <c r="N378">
        <v>0.52</v>
      </c>
      <c r="O378">
        <v>0.38</v>
      </c>
      <c r="P378">
        <v>3127.5940000000001</v>
      </c>
      <c r="Q378">
        <v>7875</v>
      </c>
      <c r="R378">
        <v>62015625</v>
      </c>
      <c r="S378">
        <v>3.38</v>
      </c>
      <c r="T378">
        <v>11.4244</v>
      </c>
      <c r="U378">
        <v>0.94469000000000003</v>
      </c>
      <c r="V378">
        <v>0</v>
      </c>
      <c r="W378">
        <v>0</v>
      </c>
      <c r="X378">
        <v>1</v>
      </c>
    </row>
    <row r="379" spans="1:24">
      <c r="A379">
        <v>129</v>
      </c>
      <c r="B379" t="s">
        <v>1112</v>
      </c>
      <c r="C379">
        <v>128</v>
      </c>
      <c r="D379">
        <v>1995</v>
      </c>
      <c r="E379">
        <v>3.68093</v>
      </c>
      <c r="F379">
        <v>3.99702</v>
      </c>
      <c r="G379">
        <v>62</v>
      </c>
      <c r="H379">
        <v>3844</v>
      </c>
      <c r="I379">
        <v>22785000</v>
      </c>
      <c r="J379">
        <v>91.072090000000003</v>
      </c>
      <c r="K379">
        <v>7</v>
      </c>
      <c r="L379">
        <v>7</v>
      </c>
      <c r="M379">
        <v>14</v>
      </c>
      <c r="N379">
        <v>-0.89</v>
      </c>
      <c r="O379">
        <v>-1.44</v>
      </c>
      <c r="P379">
        <v>636.24720000000002</v>
      </c>
      <c r="Q379">
        <v>1339</v>
      </c>
      <c r="R379">
        <v>1792921</v>
      </c>
      <c r="S379">
        <v>22.785</v>
      </c>
      <c r="T379">
        <v>519.15620000000001</v>
      </c>
      <c r="U379">
        <v>1.0858719999999999</v>
      </c>
      <c r="V379">
        <v>1</v>
      </c>
      <c r="W379">
        <v>0</v>
      </c>
      <c r="X379">
        <v>0</v>
      </c>
    </row>
    <row r="380" spans="1:24">
      <c r="A380">
        <v>129</v>
      </c>
      <c r="B380" t="s">
        <v>1112</v>
      </c>
      <c r="C380">
        <v>128</v>
      </c>
      <c r="D380">
        <v>2000</v>
      </c>
      <c r="E380">
        <v>7.5419879999999999</v>
      </c>
      <c r="F380">
        <v>7.5419879999999999</v>
      </c>
      <c r="G380">
        <v>59</v>
      </c>
      <c r="H380">
        <v>3481</v>
      </c>
      <c r="I380">
        <v>24650000</v>
      </c>
      <c r="J380">
        <v>185.91</v>
      </c>
      <c r="K380">
        <v>6</v>
      </c>
      <c r="L380">
        <v>7</v>
      </c>
      <c r="M380">
        <v>13</v>
      </c>
      <c r="N380">
        <v>-0.96</v>
      </c>
      <c r="O380">
        <v>-1.4</v>
      </c>
      <c r="P380">
        <v>558.23</v>
      </c>
      <c r="Q380">
        <v>1516</v>
      </c>
      <c r="R380">
        <v>2298256</v>
      </c>
      <c r="S380">
        <v>24.65</v>
      </c>
      <c r="T380">
        <v>607.62249999999995</v>
      </c>
      <c r="U380">
        <v>1</v>
      </c>
      <c r="V380">
        <v>0</v>
      </c>
      <c r="W380">
        <v>1</v>
      </c>
      <c r="X380">
        <v>0</v>
      </c>
    </row>
    <row r="381" spans="1:24">
      <c r="A381">
        <v>129</v>
      </c>
      <c r="B381" t="s">
        <v>1112</v>
      </c>
      <c r="C381">
        <v>128</v>
      </c>
      <c r="D381">
        <v>2003</v>
      </c>
      <c r="E381">
        <v>7.595154</v>
      </c>
      <c r="F381">
        <v>7.1750679999999996</v>
      </c>
      <c r="G381">
        <v>57</v>
      </c>
      <c r="H381">
        <v>3249</v>
      </c>
      <c r="I381">
        <v>25590000</v>
      </c>
      <c r="J381">
        <v>183.61</v>
      </c>
      <c r="K381">
        <v>6</v>
      </c>
      <c r="L381">
        <v>7</v>
      </c>
      <c r="M381">
        <v>13</v>
      </c>
      <c r="N381">
        <v>-1.04</v>
      </c>
      <c r="O381">
        <v>-1.77</v>
      </c>
      <c r="P381">
        <v>373.89319999999998</v>
      </c>
      <c r="Q381">
        <v>1641</v>
      </c>
      <c r="R381">
        <v>2692881</v>
      </c>
      <c r="S381">
        <v>25.59</v>
      </c>
      <c r="T381">
        <v>654.84810000000004</v>
      </c>
      <c r="U381">
        <v>0.94469000000000003</v>
      </c>
      <c r="V381">
        <v>0</v>
      </c>
      <c r="W381">
        <v>0</v>
      </c>
      <c r="X381">
        <v>1</v>
      </c>
    </row>
    <row r="382" spans="1:24">
      <c r="A382">
        <v>130</v>
      </c>
      <c r="B382" t="s">
        <v>1113</v>
      </c>
      <c r="C382">
        <v>129</v>
      </c>
      <c r="D382">
        <v>1995</v>
      </c>
      <c r="E382">
        <v>271.02140000000003</v>
      </c>
      <c r="F382">
        <v>294.2946</v>
      </c>
      <c r="G382">
        <v>43</v>
      </c>
      <c r="H382">
        <v>1849</v>
      </c>
      <c r="I382">
        <v>168400</v>
      </c>
      <c r="J382">
        <v>49.441490000000002</v>
      </c>
      <c r="K382">
        <v>3</v>
      </c>
      <c r="L382">
        <v>1</v>
      </c>
      <c r="M382">
        <v>4</v>
      </c>
      <c r="N382">
        <v>-0.23</v>
      </c>
      <c r="O382">
        <v>-0.06</v>
      </c>
      <c r="P382">
        <v>1469.5329999999999</v>
      </c>
      <c r="Q382">
        <v>3289</v>
      </c>
      <c r="R382">
        <v>10817521</v>
      </c>
      <c r="S382">
        <v>0.16800000000000001</v>
      </c>
      <c r="T382">
        <v>2.8223999999999999E-2</v>
      </c>
      <c r="U382">
        <v>1.0858719999999999</v>
      </c>
      <c r="V382">
        <v>1</v>
      </c>
      <c r="W382">
        <v>0</v>
      </c>
      <c r="X382">
        <v>0</v>
      </c>
    </row>
    <row r="383" spans="1:24">
      <c r="A383">
        <v>130</v>
      </c>
      <c r="B383" t="s">
        <v>1113</v>
      </c>
      <c r="C383">
        <v>129</v>
      </c>
      <c r="D383">
        <v>2000</v>
      </c>
      <c r="E383">
        <v>232.4873</v>
      </c>
      <c r="F383">
        <v>232.4873</v>
      </c>
      <c r="G383">
        <v>35</v>
      </c>
      <c r="H383">
        <v>1225</v>
      </c>
      <c r="I383">
        <v>197000</v>
      </c>
      <c r="J383">
        <v>45.8</v>
      </c>
      <c r="K383">
        <v>3</v>
      </c>
      <c r="L383">
        <v>1</v>
      </c>
      <c r="M383">
        <v>4</v>
      </c>
      <c r="N383">
        <v>-0.47</v>
      </c>
      <c r="O383">
        <v>-0.74</v>
      </c>
      <c r="P383">
        <v>1241.42</v>
      </c>
      <c r="Q383">
        <v>3052</v>
      </c>
      <c r="R383">
        <v>9314704</v>
      </c>
      <c r="S383">
        <v>0.19700000000000001</v>
      </c>
      <c r="T383">
        <v>3.8809000000000003E-2</v>
      </c>
      <c r="U383">
        <v>1</v>
      </c>
      <c r="V383">
        <v>0</v>
      </c>
      <c r="W383">
        <v>1</v>
      </c>
      <c r="X383">
        <v>0</v>
      </c>
    </row>
    <row r="384" spans="1:24">
      <c r="A384">
        <v>130</v>
      </c>
      <c r="B384" t="s">
        <v>1113</v>
      </c>
      <c r="C384">
        <v>129</v>
      </c>
      <c r="D384">
        <v>2003</v>
      </c>
      <c r="E384">
        <v>154.26070000000001</v>
      </c>
      <c r="F384">
        <v>145.7286</v>
      </c>
      <c r="G384">
        <v>31</v>
      </c>
      <c r="H384">
        <v>961</v>
      </c>
      <c r="I384">
        <v>210164</v>
      </c>
      <c r="J384">
        <v>30.603000000000002</v>
      </c>
      <c r="K384">
        <v>2</v>
      </c>
      <c r="L384">
        <v>2</v>
      </c>
      <c r="M384">
        <v>4</v>
      </c>
      <c r="N384">
        <v>-0.44</v>
      </c>
      <c r="O384">
        <v>-0.77</v>
      </c>
      <c r="P384">
        <v>1240.7650000000001</v>
      </c>
      <c r="Q384">
        <v>2680</v>
      </c>
      <c r="R384">
        <v>7182400</v>
      </c>
      <c r="S384">
        <v>0.21</v>
      </c>
      <c r="T384">
        <v>4.41E-2</v>
      </c>
      <c r="U384">
        <v>0.94469000000000003</v>
      </c>
      <c r="V384">
        <v>0</v>
      </c>
      <c r="W384">
        <v>0</v>
      </c>
      <c r="X384">
        <v>1</v>
      </c>
    </row>
    <row r="385" spans="1:24">
      <c r="A385">
        <v>131</v>
      </c>
      <c r="B385" t="s">
        <v>1114</v>
      </c>
      <c r="C385">
        <v>130</v>
      </c>
      <c r="D385">
        <v>1995</v>
      </c>
      <c r="E385">
        <v>1.9888399999999999</v>
      </c>
      <c r="F385">
        <v>2.1596259999999998</v>
      </c>
      <c r="G385">
        <v>22</v>
      </c>
      <c r="H385">
        <v>484</v>
      </c>
      <c r="I385">
        <v>22043000</v>
      </c>
      <c r="J385">
        <v>47.604640000000003</v>
      </c>
      <c r="K385">
        <v>3</v>
      </c>
      <c r="L385">
        <v>3</v>
      </c>
      <c r="M385">
        <v>6</v>
      </c>
      <c r="N385">
        <v>-0.72</v>
      </c>
      <c r="O385">
        <v>-0.08</v>
      </c>
      <c r="P385">
        <v>3812.3069999999998</v>
      </c>
      <c r="Q385">
        <v>6122</v>
      </c>
      <c r="R385">
        <v>37478884</v>
      </c>
      <c r="S385">
        <v>22.042999999999999</v>
      </c>
      <c r="T385">
        <v>485.8938</v>
      </c>
      <c r="U385">
        <v>1.0858719999999999</v>
      </c>
      <c r="V385">
        <v>1</v>
      </c>
      <c r="W385">
        <v>0</v>
      </c>
      <c r="X385">
        <v>0</v>
      </c>
    </row>
    <row r="386" spans="1:24">
      <c r="A386">
        <v>131</v>
      </c>
      <c r="B386" t="s">
        <v>1114</v>
      </c>
      <c r="C386">
        <v>130</v>
      </c>
      <c r="D386">
        <v>2000</v>
      </c>
      <c r="E386">
        <v>3.1500140000000001</v>
      </c>
      <c r="F386">
        <v>3.1500140000000001</v>
      </c>
      <c r="G386">
        <v>20</v>
      </c>
      <c r="H386">
        <v>400</v>
      </c>
      <c r="I386">
        <v>24311000</v>
      </c>
      <c r="J386">
        <v>76.579989999999995</v>
      </c>
      <c r="K386">
        <v>5</v>
      </c>
      <c r="L386">
        <v>3</v>
      </c>
      <c r="M386">
        <v>8</v>
      </c>
      <c r="N386">
        <v>-0.83</v>
      </c>
      <c r="O386">
        <v>-0.55000000000000004</v>
      </c>
      <c r="P386">
        <v>4818.7079999999996</v>
      </c>
      <c r="Q386">
        <v>5685</v>
      </c>
      <c r="R386">
        <v>32319225</v>
      </c>
      <c r="S386">
        <v>24.311</v>
      </c>
      <c r="T386">
        <v>591.02470000000005</v>
      </c>
      <c r="U386">
        <v>1</v>
      </c>
      <c r="V386">
        <v>0</v>
      </c>
      <c r="W386">
        <v>1</v>
      </c>
      <c r="X386">
        <v>0</v>
      </c>
    </row>
    <row r="387" spans="1:24">
      <c r="A387">
        <v>131</v>
      </c>
      <c r="B387" t="s">
        <v>1114</v>
      </c>
      <c r="C387">
        <v>130</v>
      </c>
      <c r="D387">
        <v>2003</v>
      </c>
      <c r="E387">
        <v>3.2001249999999999</v>
      </c>
      <c r="F387">
        <v>3.0231270000000001</v>
      </c>
      <c r="G387">
        <v>18</v>
      </c>
      <c r="H387">
        <v>324</v>
      </c>
      <c r="I387">
        <v>25674000</v>
      </c>
      <c r="J387">
        <v>77.615759999999995</v>
      </c>
      <c r="K387">
        <v>4</v>
      </c>
      <c r="L387">
        <v>3</v>
      </c>
      <c r="M387">
        <v>7</v>
      </c>
      <c r="N387">
        <v>-1.05</v>
      </c>
      <c r="O387">
        <v>-0.89</v>
      </c>
      <c r="P387">
        <v>3070.07</v>
      </c>
      <c r="Q387">
        <v>4764</v>
      </c>
      <c r="R387">
        <v>22695696</v>
      </c>
      <c r="S387">
        <v>25.673999999999999</v>
      </c>
      <c r="T387">
        <v>659.15430000000003</v>
      </c>
      <c r="U387">
        <v>0.94469000000000003</v>
      </c>
      <c r="V387">
        <v>0</v>
      </c>
      <c r="W387">
        <v>0</v>
      </c>
      <c r="X387">
        <v>1</v>
      </c>
    </row>
    <row r="388" spans="1:24">
      <c r="A388">
        <v>132</v>
      </c>
      <c r="B388" t="s">
        <v>1115</v>
      </c>
      <c r="C388">
        <v>131</v>
      </c>
      <c r="D388">
        <v>1995</v>
      </c>
      <c r="E388">
        <v>11.473280000000001</v>
      </c>
      <c r="F388">
        <v>12.45852</v>
      </c>
      <c r="G388">
        <v>32</v>
      </c>
      <c r="H388">
        <v>1024</v>
      </c>
      <c r="I388">
        <v>72980000</v>
      </c>
      <c r="J388">
        <v>909.22249999999997</v>
      </c>
      <c r="K388">
        <v>7</v>
      </c>
      <c r="L388">
        <v>7</v>
      </c>
      <c r="M388">
        <v>14</v>
      </c>
      <c r="N388">
        <v>-0.1</v>
      </c>
      <c r="O388">
        <v>-0.56000000000000005</v>
      </c>
      <c r="P388">
        <v>308.53410000000002</v>
      </c>
      <c r="Q388">
        <v>1543</v>
      </c>
      <c r="R388">
        <v>2380849</v>
      </c>
      <c r="S388">
        <v>72.98</v>
      </c>
      <c r="T388">
        <v>5326.08</v>
      </c>
      <c r="U388">
        <v>1.0858719999999999</v>
      </c>
      <c r="V388">
        <v>1</v>
      </c>
      <c r="W388">
        <v>0</v>
      </c>
      <c r="X388">
        <v>0</v>
      </c>
    </row>
    <row r="389" spans="1:24">
      <c r="A389">
        <v>132</v>
      </c>
      <c r="B389" t="s">
        <v>1115</v>
      </c>
      <c r="C389">
        <v>131</v>
      </c>
      <c r="D389">
        <v>2000</v>
      </c>
      <c r="E389">
        <v>21.417369999999998</v>
      </c>
      <c r="F389">
        <v>21.417369999999998</v>
      </c>
      <c r="G389">
        <v>23</v>
      </c>
      <c r="H389">
        <v>529</v>
      </c>
      <c r="I389">
        <v>78522700</v>
      </c>
      <c r="J389">
        <v>1681.7560000000001</v>
      </c>
      <c r="K389">
        <v>6</v>
      </c>
      <c r="L389">
        <v>7</v>
      </c>
      <c r="M389">
        <v>13</v>
      </c>
      <c r="N389">
        <v>-0.3</v>
      </c>
      <c r="O389">
        <v>-0.65</v>
      </c>
      <c r="P389">
        <v>396.98739999999998</v>
      </c>
      <c r="Q389">
        <v>2014</v>
      </c>
      <c r="R389">
        <v>4056196</v>
      </c>
      <c r="S389">
        <v>78.522999999999996</v>
      </c>
      <c r="T389">
        <v>6165.8620000000001</v>
      </c>
      <c r="U389">
        <v>1</v>
      </c>
      <c r="V389">
        <v>0</v>
      </c>
      <c r="W389">
        <v>1</v>
      </c>
      <c r="X389">
        <v>0</v>
      </c>
    </row>
    <row r="390" spans="1:24">
      <c r="A390">
        <v>132</v>
      </c>
      <c r="B390" t="s">
        <v>1115</v>
      </c>
      <c r="C390">
        <v>131</v>
      </c>
      <c r="D390">
        <v>2003</v>
      </c>
      <c r="E390">
        <v>21.749939999999999</v>
      </c>
      <c r="F390">
        <v>20.546959999999999</v>
      </c>
      <c r="G390">
        <v>19</v>
      </c>
      <c r="H390">
        <v>361</v>
      </c>
      <c r="I390">
        <v>81314240</v>
      </c>
      <c r="J390">
        <v>1670.7550000000001</v>
      </c>
      <c r="K390">
        <v>6</v>
      </c>
      <c r="L390">
        <v>7</v>
      </c>
      <c r="M390">
        <v>13</v>
      </c>
      <c r="N390">
        <v>-0.3</v>
      </c>
      <c r="O390">
        <v>-0.62</v>
      </c>
      <c r="P390">
        <v>454.9932</v>
      </c>
      <c r="Q390">
        <v>2353</v>
      </c>
      <c r="R390">
        <v>5536609</v>
      </c>
      <c r="S390">
        <v>81.313999999999993</v>
      </c>
      <c r="T390">
        <v>6611.9669999999996</v>
      </c>
      <c r="U390">
        <v>0.94469000000000003</v>
      </c>
      <c r="V390">
        <v>0</v>
      </c>
      <c r="W390">
        <v>0</v>
      </c>
      <c r="X390">
        <v>1</v>
      </c>
    </row>
    <row r="391" spans="1:24">
      <c r="A391">
        <v>133</v>
      </c>
      <c r="B391" t="s">
        <v>1116</v>
      </c>
      <c r="C391">
        <v>132</v>
      </c>
      <c r="D391">
        <v>1995</v>
      </c>
      <c r="E391">
        <v>11.12632</v>
      </c>
      <c r="F391">
        <v>12.081759999999999</v>
      </c>
      <c r="G391">
        <v>89</v>
      </c>
      <c r="H391">
        <v>7921</v>
      </c>
      <c r="I391">
        <v>15200000</v>
      </c>
      <c r="J391">
        <v>183.64279999999999</v>
      </c>
      <c r="K391">
        <v>6</v>
      </c>
      <c r="L391">
        <v>5</v>
      </c>
      <c r="M391">
        <v>11</v>
      </c>
      <c r="N391">
        <v>-0.59</v>
      </c>
      <c r="O391">
        <v>-0.72</v>
      </c>
      <c r="P391">
        <v>302.63670000000002</v>
      </c>
      <c r="Q391">
        <v>753</v>
      </c>
      <c r="R391">
        <v>567009</v>
      </c>
      <c r="S391">
        <v>15.2</v>
      </c>
      <c r="T391">
        <v>231.04</v>
      </c>
      <c r="U391">
        <v>1.0858719999999999</v>
      </c>
      <c r="V391">
        <v>1</v>
      </c>
      <c r="W391">
        <v>0</v>
      </c>
      <c r="X391">
        <v>0</v>
      </c>
    </row>
    <row r="392" spans="1:24">
      <c r="A392">
        <v>133</v>
      </c>
      <c r="B392" t="s">
        <v>1116</v>
      </c>
      <c r="C392">
        <v>132</v>
      </c>
      <c r="D392">
        <v>2000</v>
      </c>
      <c r="E392">
        <v>15.12753</v>
      </c>
      <c r="F392">
        <v>15.12753</v>
      </c>
      <c r="G392">
        <v>84</v>
      </c>
      <c r="H392">
        <v>7056</v>
      </c>
      <c r="I392">
        <v>17507160</v>
      </c>
      <c r="J392">
        <v>264.83769999999998</v>
      </c>
      <c r="K392">
        <v>6</v>
      </c>
      <c r="L392">
        <v>5</v>
      </c>
      <c r="M392">
        <v>11</v>
      </c>
      <c r="N392">
        <v>-0.68</v>
      </c>
      <c r="O392">
        <v>-0.43</v>
      </c>
      <c r="P392">
        <v>539.11969999999997</v>
      </c>
      <c r="Q392">
        <v>799</v>
      </c>
      <c r="R392">
        <v>638401</v>
      </c>
      <c r="S392">
        <v>17.507000000000001</v>
      </c>
      <c r="T392">
        <v>306.495</v>
      </c>
      <c r="U392">
        <v>1</v>
      </c>
      <c r="V392">
        <v>0</v>
      </c>
      <c r="W392">
        <v>1</v>
      </c>
      <c r="X392">
        <v>0</v>
      </c>
    </row>
    <row r="393" spans="1:24">
      <c r="A393">
        <v>133</v>
      </c>
      <c r="B393" t="s">
        <v>1116</v>
      </c>
      <c r="C393">
        <v>132</v>
      </c>
      <c r="D393">
        <v>2003</v>
      </c>
      <c r="E393">
        <v>12.677619999999999</v>
      </c>
      <c r="F393">
        <v>11.976419999999999</v>
      </c>
      <c r="G393">
        <v>82</v>
      </c>
      <c r="H393">
        <v>6724</v>
      </c>
      <c r="I393">
        <v>19173160</v>
      </c>
      <c r="J393">
        <v>229.624</v>
      </c>
      <c r="K393">
        <v>5</v>
      </c>
      <c r="L393">
        <v>5</v>
      </c>
      <c r="M393">
        <v>10</v>
      </c>
      <c r="N393">
        <v>-0.84</v>
      </c>
      <c r="O393">
        <v>-0.82</v>
      </c>
      <c r="P393">
        <v>542.0806</v>
      </c>
      <c r="Q393">
        <v>821</v>
      </c>
      <c r="R393">
        <v>674041</v>
      </c>
      <c r="S393">
        <v>19.172999999999998</v>
      </c>
      <c r="T393">
        <v>367.60390000000001</v>
      </c>
      <c r="U393">
        <v>0.94469000000000003</v>
      </c>
      <c r="V393">
        <v>0</v>
      </c>
      <c r="W393">
        <v>0</v>
      </c>
      <c r="X393">
        <v>1</v>
      </c>
    </row>
    <row r="394" spans="1:24">
      <c r="A394">
        <v>134</v>
      </c>
      <c r="B394" t="s">
        <v>1117</v>
      </c>
      <c r="C394">
        <v>133</v>
      </c>
      <c r="D394">
        <v>1995</v>
      </c>
      <c r="E394">
        <v>229.0282</v>
      </c>
      <c r="F394">
        <v>248.69540000000001</v>
      </c>
      <c r="G394">
        <v>102</v>
      </c>
      <c r="H394">
        <v>10404</v>
      </c>
      <c r="I394">
        <v>8880000</v>
      </c>
      <c r="J394">
        <v>2208.415</v>
      </c>
      <c r="K394">
        <v>4</v>
      </c>
      <c r="L394">
        <v>3</v>
      </c>
      <c r="M394">
        <v>7</v>
      </c>
      <c r="N394">
        <v>-0.86</v>
      </c>
      <c r="O394">
        <v>0.27</v>
      </c>
      <c r="P394">
        <v>425.25619999999998</v>
      </c>
      <c r="Q394">
        <v>771</v>
      </c>
      <c r="R394">
        <v>594441</v>
      </c>
      <c r="S394">
        <v>8.8800000000000008</v>
      </c>
      <c r="T394">
        <v>78.854399999999998</v>
      </c>
      <c r="U394">
        <v>1.0858719999999999</v>
      </c>
      <c r="V394">
        <v>1</v>
      </c>
      <c r="W394">
        <v>0</v>
      </c>
      <c r="X394">
        <v>0</v>
      </c>
    </row>
    <row r="395" spans="1:24">
      <c r="A395">
        <v>134</v>
      </c>
      <c r="B395" t="s">
        <v>1117</v>
      </c>
      <c r="C395">
        <v>133</v>
      </c>
      <c r="D395">
        <v>2000</v>
      </c>
      <c r="E395">
        <v>80.427880000000002</v>
      </c>
      <c r="F395">
        <v>80.427880000000002</v>
      </c>
      <c r="G395">
        <v>102</v>
      </c>
      <c r="H395">
        <v>10404</v>
      </c>
      <c r="I395">
        <v>9886000</v>
      </c>
      <c r="J395">
        <v>795.11</v>
      </c>
      <c r="K395">
        <v>4</v>
      </c>
      <c r="L395">
        <v>5</v>
      </c>
      <c r="M395">
        <v>9</v>
      </c>
      <c r="N395">
        <v>-0.72</v>
      </c>
      <c r="O395">
        <v>0.33</v>
      </c>
      <c r="P395">
        <v>327.50560000000002</v>
      </c>
      <c r="Q395">
        <v>777</v>
      </c>
      <c r="R395">
        <v>603729</v>
      </c>
      <c r="S395">
        <v>9.8859999999999992</v>
      </c>
      <c r="T395">
        <v>97.733000000000004</v>
      </c>
      <c r="U395">
        <v>1</v>
      </c>
      <c r="V395">
        <v>0</v>
      </c>
      <c r="W395">
        <v>1</v>
      </c>
      <c r="X395">
        <v>0</v>
      </c>
    </row>
    <row r="396" spans="1:24">
      <c r="A396">
        <v>134</v>
      </c>
      <c r="B396" t="s">
        <v>1117</v>
      </c>
      <c r="C396">
        <v>133</v>
      </c>
      <c r="D396">
        <v>2003</v>
      </c>
      <c r="E396">
        <v>53.844299999999997</v>
      </c>
      <c r="F396">
        <v>50.866190000000003</v>
      </c>
      <c r="G396">
        <v>102</v>
      </c>
      <c r="H396">
        <v>10404</v>
      </c>
      <c r="I396">
        <v>10402960</v>
      </c>
      <c r="J396">
        <v>529.16099999999994</v>
      </c>
      <c r="K396">
        <v>4</v>
      </c>
      <c r="L396">
        <v>4</v>
      </c>
      <c r="M396">
        <v>8</v>
      </c>
      <c r="N396">
        <v>-0.8</v>
      </c>
      <c r="O396">
        <v>-0.53</v>
      </c>
      <c r="P396">
        <v>393.6823</v>
      </c>
      <c r="Q396">
        <v>828</v>
      </c>
      <c r="R396">
        <v>685584</v>
      </c>
      <c r="S396">
        <v>10.403</v>
      </c>
      <c r="T396">
        <v>108.22239999999999</v>
      </c>
      <c r="U396">
        <v>0.94469000000000003</v>
      </c>
      <c r="V396">
        <v>0</v>
      </c>
      <c r="W396">
        <v>0</v>
      </c>
      <c r="X396">
        <v>1</v>
      </c>
    </row>
    <row r="397" spans="1:24">
      <c r="A397">
        <v>135</v>
      </c>
      <c r="B397" t="s">
        <v>1118</v>
      </c>
      <c r="C397">
        <v>134</v>
      </c>
      <c r="D397">
        <v>1995</v>
      </c>
      <c r="E397">
        <v>42.836599999999997</v>
      </c>
      <c r="F397">
        <v>46.515070000000001</v>
      </c>
      <c r="G397">
        <v>60</v>
      </c>
      <c r="H397">
        <v>3600</v>
      </c>
      <c r="I397">
        <v>11475000</v>
      </c>
      <c r="J397">
        <v>533.76049999999998</v>
      </c>
      <c r="K397">
        <v>5</v>
      </c>
      <c r="L397">
        <v>5</v>
      </c>
      <c r="M397">
        <v>10</v>
      </c>
      <c r="N397">
        <v>-0.26</v>
      </c>
      <c r="O397">
        <v>-0.87</v>
      </c>
      <c r="P397">
        <v>672.93510000000003</v>
      </c>
      <c r="Q397">
        <v>2611</v>
      </c>
      <c r="R397">
        <v>6817321</v>
      </c>
      <c r="S397">
        <v>11.475</v>
      </c>
      <c r="T397">
        <v>131.6756</v>
      </c>
      <c r="U397">
        <v>1.0858719999999999</v>
      </c>
      <c r="V397">
        <v>1</v>
      </c>
      <c r="W397">
        <v>0</v>
      </c>
      <c r="X397">
        <v>0</v>
      </c>
    </row>
    <row r="398" spans="1:24">
      <c r="A398">
        <v>135</v>
      </c>
      <c r="B398" t="s">
        <v>1118</v>
      </c>
      <c r="C398">
        <v>134</v>
      </c>
      <c r="D398">
        <v>2000</v>
      </c>
      <c r="E398">
        <v>14.075889999999999</v>
      </c>
      <c r="F398">
        <v>14.075889999999999</v>
      </c>
      <c r="G398">
        <v>73</v>
      </c>
      <c r="H398">
        <v>5329</v>
      </c>
      <c r="I398">
        <v>12650000</v>
      </c>
      <c r="J398">
        <v>178.06</v>
      </c>
      <c r="K398">
        <v>5</v>
      </c>
      <c r="L398">
        <v>6</v>
      </c>
      <c r="M398">
        <v>11</v>
      </c>
      <c r="N398">
        <v>-1.1299999999999999</v>
      </c>
      <c r="O398">
        <v>-1.61</v>
      </c>
      <c r="P398">
        <v>569.51009999999997</v>
      </c>
      <c r="Q398">
        <v>2577</v>
      </c>
      <c r="R398">
        <v>6640929</v>
      </c>
      <c r="S398">
        <v>12.65</v>
      </c>
      <c r="T398">
        <v>160.02250000000001</v>
      </c>
      <c r="U398">
        <v>1</v>
      </c>
      <c r="V398">
        <v>0</v>
      </c>
      <c r="W398">
        <v>1</v>
      </c>
      <c r="X398">
        <v>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EF9C-8BDF-4D30-AEA1-CA034BC0BD85}">
  <dimension ref="A1:C51"/>
  <sheetViews>
    <sheetView topLeftCell="A31" workbookViewId="0">
      <selection sqref="A1:C51"/>
    </sheetView>
  </sheetViews>
  <sheetFormatPr defaultRowHeight="15"/>
  <sheetData>
    <row r="1" spans="1:3">
      <c r="A1" t="s">
        <v>1119</v>
      </c>
    </row>
    <row r="3" spans="1:3">
      <c r="A3" t="s">
        <v>63</v>
      </c>
      <c r="B3" t="s">
        <v>838</v>
      </c>
      <c r="C3" t="s">
        <v>1120</v>
      </c>
    </row>
    <row r="4" spans="1:3">
      <c r="A4">
        <v>1959</v>
      </c>
      <c r="B4" s="86">
        <v>8776</v>
      </c>
      <c r="C4" s="86">
        <v>9685</v>
      </c>
    </row>
    <row r="5" spans="1:3">
      <c r="A5">
        <v>1960</v>
      </c>
      <c r="B5" s="86">
        <v>8837</v>
      </c>
      <c r="C5" s="86">
        <v>9735</v>
      </c>
    </row>
    <row r="6" spans="1:3">
      <c r="A6">
        <v>1961</v>
      </c>
      <c r="B6" s="86">
        <v>8873</v>
      </c>
      <c r="C6" s="86">
        <v>9901</v>
      </c>
    </row>
    <row r="7" spans="1:3">
      <c r="A7">
        <v>1962</v>
      </c>
      <c r="B7" s="86">
        <v>9170</v>
      </c>
      <c r="C7" s="86">
        <v>10227</v>
      </c>
    </row>
    <row r="8" spans="1:3">
      <c r="A8">
        <v>1963</v>
      </c>
      <c r="B8" s="86">
        <v>9412</v>
      </c>
      <c r="C8" s="86">
        <v>10455</v>
      </c>
    </row>
    <row r="9" spans="1:3">
      <c r="A9">
        <v>1964</v>
      </c>
      <c r="B9" s="86">
        <v>9839</v>
      </c>
      <c r="C9" s="86">
        <v>11061</v>
      </c>
    </row>
    <row r="10" spans="1:3">
      <c r="A10">
        <v>1965</v>
      </c>
      <c r="B10" s="86">
        <v>10331</v>
      </c>
      <c r="C10" s="86">
        <v>11594</v>
      </c>
    </row>
    <row r="11" spans="1:3">
      <c r="A11">
        <v>1966</v>
      </c>
      <c r="B11" s="86">
        <v>10793</v>
      </c>
      <c r="C11" s="86">
        <v>12065</v>
      </c>
    </row>
    <row r="12" spans="1:3">
      <c r="A12">
        <v>1967</v>
      </c>
      <c r="B12" s="86">
        <v>10994</v>
      </c>
      <c r="C12" s="86">
        <v>12457</v>
      </c>
    </row>
    <row r="13" spans="1:3">
      <c r="A13">
        <v>1968</v>
      </c>
      <c r="B13" s="86">
        <v>11510</v>
      </c>
      <c r="C13" s="86">
        <v>12892</v>
      </c>
    </row>
    <row r="14" spans="1:3">
      <c r="A14">
        <v>1969</v>
      </c>
      <c r="B14" s="86">
        <v>11820</v>
      </c>
      <c r="C14" s="86">
        <v>13163</v>
      </c>
    </row>
    <row r="15" spans="1:3">
      <c r="A15">
        <v>1970</v>
      </c>
      <c r="B15" s="86">
        <v>11955</v>
      </c>
      <c r="C15" s="86">
        <v>13563</v>
      </c>
    </row>
    <row r="16" spans="1:3">
      <c r="A16">
        <v>1971</v>
      </c>
      <c r="B16" s="86">
        <v>12256</v>
      </c>
      <c r="C16" s="86">
        <v>14001</v>
      </c>
    </row>
    <row r="17" spans="1:3">
      <c r="A17">
        <v>1972</v>
      </c>
      <c r="B17" s="86">
        <v>12868</v>
      </c>
      <c r="C17" s="86">
        <v>14512</v>
      </c>
    </row>
    <row r="18" spans="1:3">
      <c r="A18">
        <v>1973</v>
      </c>
      <c r="B18" s="86">
        <v>13371</v>
      </c>
      <c r="C18" s="86">
        <v>15345</v>
      </c>
    </row>
    <row r="19" spans="1:3">
      <c r="A19">
        <v>1974</v>
      </c>
      <c r="B19" s="86">
        <v>13148</v>
      </c>
      <c r="C19" s="86">
        <v>15094</v>
      </c>
    </row>
    <row r="20" spans="1:3">
      <c r="A20">
        <v>1975</v>
      </c>
      <c r="B20" s="86">
        <v>13320</v>
      </c>
      <c r="C20" s="86">
        <v>15291</v>
      </c>
    </row>
    <row r="21" spans="1:3">
      <c r="A21">
        <v>1976</v>
      </c>
      <c r="B21" s="86">
        <v>13919</v>
      </c>
      <c r="C21" s="86">
        <v>15738</v>
      </c>
    </row>
    <row r="22" spans="1:3">
      <c r="A22">
        <v>1977</v>
      </c>
      <c r="B22" s="86">
        <v>14364</v>
      </c>
      <c r="C22" s="86">
        <v>16128</v>
      </c>
    </row>
    <row r="23" spans="1:3">
      <c r="A23">
        <v>1978</v>
      </c>
      <c r="B23" s="86">
        <v>14837</v>
      </c>
      <c r="C23" s="86">
        <v>16704</v>
      </c>
    </row>
    <row r="24" spans="1:3">
      <c r="A24">
        <v>1979</v>
      </c>
      <c r="B24" s="86">
        <v>15030</v>
      </c>
      <c r="C24" s="86">
        <v>16931</v>
      </c>
    </row>
    <row r="25" spans="1:3">
      <c r="A25">
        <v>1980</v>
      </c>
      <c r="B25" s="86">
        <v>14816</v>
      </c>
      <c r="C25" s="86">
        <v>16940</v>
      </c>
    </row>
    <row r="26" spans="1:3">
      <c r="A26">
        <v>1981</v>
      </c>
      <c r="B26" s="86">
        <v>14879</v>
      </c>
      <c r="C26" s="86">
        <v>17217</v>
      </c>
    </row>
    <row r="27" spans="1:3">
      <c r="A27">
        <v>1982</v>
      </c>
      <c r="B27" s="86">
        <v>14944</v>
      </c>
      <c r="C27" s="86">
        <v>17418</v>
      </c>
    </row>
    <row r="28" spans="1:3">
      <c r="A28">
        <v>1983</v>
      </c>
      <c r="B28" s="86">
        <v>15656</v>
      </c>
      <c r="C28" s="86">
        <v>17828</v>
      </c>
    </row>
    <row r="29" spans="1:3">
      <c r="A29">
        <v>1984</v>
      </c>
      <c r="B29" s="86">
        <v>16343</v>
      </c>
      <c r="C29" s="86">
        <v>19011</v>
      </c>
    </row>
    <row r="30" spans="1:3">
      <c r="A30">
        <v>1985</v>
      </c>
      <c r="B30" s="86">
        <v>17040</v>
      </c>
      <c r="C30" s="86">
        <v>19476</v>
      </c>
    </row>
    <row r="31" spans="1:3">
      <c r="A31">
        <v>1986</v>
      </c>
      <c r="B31" s="86">
        <v>17570</v>
      </c>
      <c r="C31" s="86">
        <v>19906</v>
      </c>
    </row>
    <row r="32" spans="1:3">
      <c r="A32">
        <v>1987</v>
      </c>
      <c r="B32" s="86">
        <v>17994</v>
      </c>
      <c r="C32" s="86">
        <v>20072</v>
      </c>
    </row>
    <row r="33" spans="1:3">
      <c r="A33">
        <v>1988</v>
      </c>
      <c r="B33" s="86">
        <v>18554</v>
      </c>
      <c r="C33" s="86">
        <v>20740</v>
      </c>
    </row>
    <row r="34" spans="1:3">
      <c r="A34">
        <v>1989</v>
      </c>
      <c r="B34" s="86">
        <v>18898</v>
      </c>
      <c r="C34" s="86">
        <v>21120</v>
      </c>
    </row>
    <row r="35" spans="1:3">
      <c r="A35">
        <v>1990</v>
      </c>
      <c r="B35" s="86">
        <v>19067</v>
      </c>
      <c r="C35" s="86">
        <v>21281</v>
      </c>
    </row>
    <row r="36" spans="1:3">
      <c r="A36">
        <v>1991</v>
      </c>
      <c r="B36" s="86">
        <v>18848</v>
      </c>
      <c r="C36" s="86">
        <v>21109</v>
      </c>
    </row>
    <row r="37" spans="1:3">
      <c r="A37">
        <v>1992</v>
      </c>
      <c r="B37" s="86">
        <v>19208</v>
      </c>
      <c r="C37" s="86">
        <v>21548</v>
      </c>
    </row>
    <row r="38" spans="1:3">
      <c r="A38">
        <v>1993</v>
      </c>
      <c r="B38" s="86">
        <v>19593</v>
      </c>
      <c r="C38" s="86">
        <v>21493</v>
      </c>
    </row>
    <row r="39" spans="1:3">
      <c r="A39">
        <v>1994</v>
      </c>
      <c r="B39" s="86">
        <v>20082</v>
      </c>
      <c r="C39" s="86">
        <v>21812</v>
      </c>
    </row>
    <row r="40" spans="1:3">
      <c r="A40">
        <v>1995</v>
      </c>
      <c r="B40" s="86">
        <v>20382</v>
      </c>
      <c r="C40" s="86">
        <v>22153</v>
      </c>
    </row>
    <row r="41" spans="1:3">
      <c r="A41">
        <v>1996</v>
      </c>
      <c r="B41" s="86">
        <v>20835</v>
      </c>
      <c r="C41" s="86">
        <v>22546</v>
      </c>
    </row>
    <row r="42" spans="1:3">
      <c r="A42">
        <v>1997</v>
      </c>
      <c r="B42" s="86">
        <v>21365</v>
      </c>
      <c r="C42" s="86">
        <v>23065</v>
      </c>
    </row>
    <row r="43" spans="1:3">
      <c r="A43">
        <v>1998</v>
      </c>
      <c r="B43" s="86">
        <v>22183</v>
      </c>
      <c r="C43" s="86">
        <v>24131</v>
      </c>
    </row>
    <row r="44" spans="1:3">
      <c r="A44">
        <v>1999</v>
      </c>
      <c r="B44" s="86">
        <v>23050</v>
      </c>
      <c r="C44" s="86">
        <v>24564</v>
      </c>
    </row>
    <row r="45" spans="1:3">
      <c r="A45">
        <v>2000</v>
      </c>
      <c r="B45" s="86">
        <v>23860</v>
      </c>
      <c r="C45" s="86">
        <v>25469</v>
      </c>
    </row>
    <row r="46" spans="1:3">
      <c r="A46">
        <v>2001</v>
      </c>
      <c r="B46" s="86">
        <v>24205</v>
      </c>
      <c r="C46" s="86">
        <v>25687</v>
      </c>
    </row>
    <row r="47" spans="1:3">
      <c r="A47">
        <v>2002</v>
      </c>
      <c r="B47" s="86">
        <v>24612</v>
      </c>
      <c r="C47" s="86">
        <v>26217</v>
      </c>
    </row>
    <row r="48" spans="1:3">
      <c r="A48">
        <v>2003</v>
      </c>
      <c r="B48" s="86">
        <v>25043</v>
      </c>
      <c r="C48" s="86">
        <v>26535</v>
      </c>
    </row>
    <row r="49" spans="1:3">
      <c r="A49">
        <v>2004</v>
      </c>
      <c r="B49" s="86">
        <v>25711</v>
      </c>
      <c r="C49" s="86">
        <v>27232</v>
      </c>
    </row>
    <row r="50" spans="1:3">
      <c r="A50">
        <v>2005</v>
      </c>
      <c r="B50" s="86">
        <v>26277</v>
      </c>
      <c r="C50" s="86">
        <v>27436</v>
      </c>
    </row>
    <row r="51" spans="1:3">
      <c r="A51">
        <v>2006</v>
      </c>
      <c r="B51" s="86">
        <v>26828</v>
      </c>
      <c r="C51" s="86">
        <v>28005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63F2-B871-4E22-B9D7-42E1A524319B}">
  <dimension ref="A1:F44"/>
  <sheetViews>
    <sheetView topLeftCell="A24" workbookViewId="0">
      <selection sqref="A1:F44"/>
    </sheetView>
  </sheetViews>
  <sheetFormatPr defaultRowHeight="15"/>
  <sheetData>
    <row r="1" spans="1:6">
      <c r="A1" t="s">
        <v>1257</v>
      </c>
    </row>
    <row r="2" spans="1:6">
      <c r="A2" t="s">
        <v>1121</v>
      </c>
    </row>
    <row r="4" spans="1:6">
      <c r="A4" t="s">
        <v>109</v>
      </c>
      <c r="B4" t="s">
        <v>689</v>
      </c>
      <c r="C4" t="s">
        <v>645</v>
      </c>
      <c r="D4" t="s">
        <v>513</v>
      </c>
      <c r="E4" t="s">
        <v>63</v>
      </c>
      <c r="F4" t="s">
        <v>415</v>
      </c>
    </row>
    <row r="5" spans="1:6">
      <c r="A5">
        <v>22175</v>
      </c>
      <c r="B5">
        <v>11.133330000000001</v>
      </c>
      <c r="C5">
        <v>0.77947</v>
      </c>
      <c r="D5">
        <v>334800</v>
      </c>
      <c r="E5">
        <v>1979</v>
      </c>
      <c r="F5">
        <v>1</v>
      </c>
    </row>
    <row r="6" spans="1:6">
      <c r="A6">
        <v>22841</v>
      </c>
      <c r="B6">
        <v>11.16667</v>
      </c>
      <c r="C6">
        <v>0.80861000000000005</v>
      </c>
      <c r="D6">
        <v>336708</v>
      </c>
      <c r="E6">
        <v>1979</v>
      </c>
      <c r="F6">
        <v>2</v>
      </c>
    </row>
    <row r="7" spans="1:6">
      <c r="A7">
        <v>23461</v>
      </c>
      <c r="B7">
        <v>11.8</v>
      </c>
      <c r="C7">
        <v>0.82648999999999995</v>
      </c>
      <c r="D7">
        <v>340096</v>
      </c>
      <c r="E7">
        <v>1979</v>
      </c>
      <c r="F7">
        <v>3</v>
      </c>
    </row>
    <row r="8" spans="1:6">
      <c r="A8">
        <v>23427</v>
      </c>
      <c r="B8">
        <v>14.18333</v>
      </c>
      <c r="C8">
        <v>0.84863</v>
      </c>
      <c r="D8">
        <v>341844</v>
      </c>
      <c r="E8">
        <v>1979</v>
      </c>
      <c r="F8">
        <v>4</v>
      </c>
    </row>
    <row r="9" spans="1:6">
      <c r="A9">
        <v>23811</v>
      </c>
      <c r="B9">
        <v>14.383330000000001</v>
      </c>
      <c r="C9">
        <v>0.86692999999999998</v>
      </c>
      <c r="D9">
        <v>342776</v>
      </c>
      <c r="E9">
        <f>E5+1</f>
        <v>1980</v>
      </c>
      <c r="F9">
        <v>1</v>
      </c>
    </row>
    <row r="10" spans="1:6">
      <c r="A10">
        <v>23612.33</v>
      </c>
      <c r="B10">
        <v>12.9833</v>
      </c>
      <c r="C10">
        <v>0.88949999999999996</v>
      </c>
      <c r="D10">
        <v>342264</v>
      </c>
      <c r="E10">
        <f t="shared" ref="E10:E44" si="0">E6+1</f>
        <v>1980</v>
      </c>
      <c r="F10">
        <v>2</v>
      </c>
    </row>
    <row r="11" spans="1:6">
      <c r="A11">
        <v>24543</v>
      </c>
      <c r="B11">
        <v>10.716670000000001</v>
      </c>
      <c r="C11">
        <v>0.91552999999999995</v>
      </c>
      <c r="D11">
        <v>340716</v>
      </c>
      <c r="E11">
        <f t="shared" si="0"/>
        <v>1980</v>
      </c>
      <c r="F11">
        <v>3</v>
      </c>
    </row>
    <row r="12" spans="1:6">
      <c r="A12">
        <v>25638.66</v>
      </c>
      <c r="B12">
        <v>14.533329999999999</v>
      </c>
      <c r="C12">
        <v>0.93742999999999999</v>
      </c>
      <c r="D12">
        <v>347780</v>
      </c>
      <c r="E12">
        <f t="shared" si="0"/>
        <v>1980</v>
      </c>
      <c r="F12">
        <v>4</v>
      </c>
    </row>
    <row r="13" spans="1:6">
      <c r="A13">
        <v>25316</v>
      </c>
      <c r="B13">
        <v>17.133330000000001</v>
      </c>
      <c r="C13">
        <v>0.96523000000000003</v>
      </c>
      <c r="D13">
        <v>354836</v>
      </c>
      <c r="E13">
        <f t="shared" si="0"/>
        <v>1981</v>
      </c>
      <c r="F13">
        <v>1</v>
      </c>
    </row>
    <row r="14" spans="1:6">
      <c r="A14">
        <v>25501.33</v>
      </c>
      <c r="B14">
        <v>18.566669999999998</v>
      </c>
      <c r="C14">
        <v>0.98773999999999995</v>
      </c>
      <c r="D14">
        <v>359352</v>
      </c>
      <c r="E14">
        <f t="shared" si="0"/>
        <v>1981</v>
      </c>
      <c r="F14">
        <v>2</v>
      </c>
    </row>
    <row r="15" spans="1:6">
      <c r="A15">
        <v>25382.33</v>
      </c>
      <c r="B15">
        <v>21.016660000000002</v>
      </c>
      <c r="C15">
        <v>1.0131399999999999</v>
      </c>
      <c r="D15">
        <v>356152</v>
      </c>
      <c r="E15">
        <f t="shared" si="0"/>
        <v>1981</v>
      </c>
      <c r="F15">
        <v>3</v>
      </c>
    </row>
    <row r="16" spans="1:6">
      <c r="A16">
        <v>24753</v>
      </c>
      <c r="B16">
        <v>16.61665</v>
      </c>
      <c r="C16">
        <v>1.0341</v>
      </c>
      <c r="D16">
        <v>353636</v>
      </c>
      <c r="E16">
        <f t="shared" si="0"/>
        <v>1981</v>
      </c>
      <c r="F16">
        <v>4</v>
      </c>
    </row>
    <row r="17" spans="1:6">
      <c r="A17">
        <v>25094.33</v>
      </c>
      <c r="B17">
        <v>15.35</v>
      </c>
      <c r="C17">
        <v>1.0574300000000001</v>
      </c>
      <c r="D17">
        <v>349568</v>
      </c>
      <c r="E17">
        <f t="shared" si="0"/>
        <v>1982</v>
      </c>
      <c r="F17">
        <v>1</v>
      </c>
    </row>
    <row r="18" spans="1:6">
      <c r="A18">
        <v>25253.66</v>
      </c>
      <c r="B18">
        <v>16.049990000000001</v>
      </c>
      <c r="C18">
        <v>1.07748</v>
      </c>
      <c r="D18">
        <v>345284</v>
      </c>
      <c r="E18">
        <f t="shared" si="0"/>
        <v>1982</v>
      </c>
      <c r="F18">
        <v>2</v>
      </c>
    </row>
    <row r="19" spans="1:6">
      <c r="A19">
        <v>24936.66</v>
      </c>
      <c r="B19">
        <v>14.31667</v>
      </c>
      <c r="C19">
        <v>1.09666</v>
      </c>
      <c r="D19">
        <v>343028</v>
      </c>
      <c r="E19">
        <f t="shared" si="0"/>
        <v>1982</v>
      </c>
      <c r="F19">
        <v>3</v>
      </c>
    </row>
    <row r="20" spans="1:6">
      <c r="A20">
        <v>25553</v>
      </c>
      <c r="B20">
        <v>10.883330000000001</v>
      </c>
      <c r="C20">
        <v>1.1164099999999999</v>
      </c>
      <c r="D20">
        <v>340292</v>
      </c>
      <c r="E20">
        <f t="shared" si="0"/>
        <v>1982</v>
      </c>
      <c r="F20">
        <v>4</v>
      </c>
    </row>
    <row r="21" spans="1:6">
      <c r="A21">
        <v>26755.33</v>
      </c>
      <c r="B21">
        <v>9.6166699999999992</v>
      </c>
      <c r="C21">
        <v>1.12303</v>
      </c>
      <c r="D21">
        <v>346072</v>
      </c>
      <c r="E21">
        <f t="shared" si="0"/>
        <v>1983</v>
      </c>
      <c r="F21">
        <v>1</v>
      </c>
    </row>
    <row r="22" spans="1:6">
      <c r="A22">
        <v>27412</v>
      </c>
      <c r="B22">
        <v>9.3166700000000002</v>
      </c>
      <c r="C22">
        <v>1.13395</v>
      </c>
      <c r="D22">
        <v>353860</v>
      </c>
      <c r="E22">
        <f t="shared" si="0"/>
        <v>1983</v>
      </c>
      <c r="F22">
        <v>2</v>
      </c>
    </row>
    <row r="23" spans="1:6">
      <c r="A23">
        <v>28403.33</v>
      </c>
      <c r="B23">
        <v>9.3333300000000001</v>
      </c>
      <c r="C23">
        <v>1.1472100000000001</v>
      </c>
      <c r="D23">
        <v>359544</v>
      </c>
      <c r="E23">
        <f t="shared" si="0"/>
        <v>1983</v>
      </c>
      <c r="F23">
        <v>3</v>
      </c>
    </row>
    <row r="24" spans="1:6">
      <c r="A24">
        <v>28402.33</v>
      </c>
      <c r="B24">
        <v>9.5500000000000007</v>
      </c>
      <c r="C24">
        <v>1.16059</v>
      </c>
      <c r="D24">
        <v>362304</v>
      </c>
      <c r="E24">
        <f t="shared" si="0"/>
        <v>1983</v>
      </c>
      <c r="F24">
        <v>4</v>
      </c>
    </row>
    <row r="25" spans="1:6">
      <c r="A25">
        <v>28715.66</v>
      </c>
      <c r="B25">
        <v>10.08333</v>
      </c>
      <c r="C25">
        <v>1.17117</v>
      </c>
      <c r="D25">
        <v>368280</v>
      </c>
      <c r="E25">
        <f t="shared" si="0"/>
        <v>1984</v>
      </c>
      <c r="F25">
        <v>1</v>
      </c>
    </row>
    <row r="26" spans="1:6">
      <c r="A26">
        <v>28996.33</v>
      </c>
      <c r="B26">
        <v>11.45</v>
      </c>
      <c r="C26">
        <v>1.1740600000000001</v>
      </c>
      <c r="D26">
        <v>376768</v>
      </c>
      <c r="E26">
        <f t="shared" si="0"/>
        <v>1984</v>
      </c>
      <c r="F26">
        <v>2</v>
      </c>
    </row>
    <row r="27" spans="1:6">
      <c r="A27">
        <v>28479.33</v>
      </c>
      <c r="B27">
        <v>12.45</v>
      </c>
      <c r="C27">
        <v>1.1779500000000001</v>
      </c>
      <c r="D27">
        <v>381016</v>
      </c>
      <c r="E27">
        <f t="shared" si="0"/>
        <v>1984</v>
      </c>
      <c r="F27">
        <v>3</v>
      </c>
    </row>
    <row r="28" spans="1:6">
      <c r="A28">
        <v>28669</v>
      </c>
      <c r="B28">
        <v>10.76667</v>
      </c>
      <c r="C28">
        <v>1.18438</v>
      </c>
      <c r="D28">
        <v>385396</v>
      </c>
      <c r="E28">
        <f t="shared" si="0"/>
        <v>1984</v>
      </c>
      <c r="F28">
        <v>4</v>
      </c>
    </row>
    <row r="29" spans="1:6">
      <c r="A29">
        <v>29018.66</v>
      </c>
      <c r="B29">
        <v>10.51667</v>
      </c>
      <c r="C29">
        <v>1.1899</v>
      </c>
      <c r="D29">
        <v>390240</v>
      </c>
      <c r="E29">
        <f t="shared" si="0"/>
        <v>1985</v>
      </c>
      <c r="F29">
        <v>1</v>
      </c>
    </row>
    <row r="30" spans="1:6">
      <c r="A30">
        <v>29398.66</v>
      </c>
      <c r="B30">
        <v>9.6666699999999999</v>
      </c>
      <c r="C30">
        <v>1.20625</v>
      </c>
      <c r="D30">
        <v>391580</v>
      </c>
      <c r="E30">
        <f t="shared" si="0"/>
        <v>1985</v>
      </c>
      <c r="F30">
        <v>2</v>
      </c>
    </row>
    <row r="31" spans="1:6">
      <c r="A31">
        <v>30203.66</v>
      </c>
      <c r="B31">
        <v>9.0333299999999994</v>
      </c>
      <c r="C31">
        <v>1.21492</v>
      </c>
      <c r="D31">
        <v>396384</v>
      </c>
      <c r="E31">
        <f t="shared" si="0"/>
        <v>1985</v>
      </c>
      <c r="F31">
        <v>3</v>
      </c>
    </row>
    <row r="32" spans="1:6">
      <c r="A32">
        <v>31059.33</v>
      </c>
      <c r="B32">
        <v>9.0166699999999995</v>
      </c>
      <c r="C32">
        <v>1.2180500000000001</v>
      </c>
      <c r="D32">
        <v>405308</v>
      </c>
      <c r="E32">
        <f t="shared" si="0"/>
        <v>1985</v>
      </c>
      <c r="F32">
        <v>4</v>
      </c>
    </row>
    <row r="33" spans="1:6">
      <c r="A33">
        <v>30745.33</v>
      </c>
      <c r="B33">
        <v>11.033329999999999</v>
      </c>
      <c r="C33">
        <v>1.2240800000000001</v>
      </c>
      <c r="D33">
        <v>405680</v>
      </c>
      <c r="E33">
        <f t="shared" si="0"/>
        <v>1986</v>
      </c>
      <c r="F33">
        <v>1</v>
      </c>
    </row>
    <row r="34" spans="1:6">
      <c r="A34">
        <v>30477.66</v>
      </c>
      <c r="B34">
        <v>8.7333300000000005</v>
      </c>
      <c r="C34">
        <v>1.2285600000000001</v>
      </c>
      <c r="D34">
        <v>408116</v>
      </c>
      <c r="E34">
        <f t="shared" si="0"/>
        <v>1986</v>
      </c>
      <c r="F34">
        <v>2</v>
      </c>
    </row>
    <row r="35" spans="1:6">
      <c r="A35">
        <v>31563.66</v>
      </c>
      <c r="B35">
        <v>8.4666700000000006</v>
      </c>
      <c r="C35">
        <v>1.23916</v>
      </c>
      <c r="D35">
        <v>409160</v>
      </c>
      <c r="E35">
        <f t="shared" si="0"/>
        <v>1986</v>
      </c>
      <c r="F35">
        <v>3</v>
      </c>
    </row>
    <row r="36" spans="1:6">
      <c r="A36">
        <v>32800.660000000003</v>
      </c>
      <c r="B36">
        <v>8.4</v>
      </c>
      <c r="C36">
        <v>1.2536799999999999</v>
      </c>
      <c r="D36">
        <v>409616</v>
      </c>
      <c r="E36">
        <f t="shared" si="0"/>
        <v>1986</v>
      </c>
      <c r="F36">
        <v>4</v>
      </c>
    </row>
    <row r="37" spans="1:6">
      <c r="A37">
        <v>33958.33</v>
      </c>
      <c r="B37">
        <v>7.25</v>
      </c>
      <c r="C37">
        <v>1.2711699999999999</v>
      </c>
      <c r="D37">
        <v>416484</v>
      </c>
      <c r="E37">
        <f t="shared" si="0"/>
        <v>1987</v>
      </c>
      <c r="F37">
        <v>1</v>
      </c>
    </row>
    <row r="38" spans="1:6">
      <c r="A38">
        <v>35795.660000000003</v>
      </c>
      <c r="B38">
        <v>8.3000000000000007</v>
      </c>
      <c r="C38">
        <v>1.2842899999999999</v>
      </c>
      <c r="D38">
        <v>422916</v>
      </c>
      <c r="E38">
        <f t="shared" si="0"/>
        <v>1987</v>
      </c>
      <c r="F38">
        <v>2</v>
      </c>
    </row>
    <row r="39" spans="1:6">
      <c r="A39">
        <v>35878.660000000003</v>
      </c>
      <c r="B39">
        <v>9.3000000000000007</v>
      </c>
      <c r="C39">
        <v>1.29599</v>
      </c>
      <c r="D39">
        <v>429980</v>
      </c>
      <c r="E39">
        <f t="shared" si="0"/>
        <v>1987</v>
      </c>
      <c r="F39">
        <v>3</v>
      </c>
    </row>
    <row r="40" spans="1:6">
      <c r="A40">
        <v>36336</v>
      </c>
      <c r="B40">
        <v>8.6999999999999993</v>
      </c>
      <c r="C40">
        <v>1.3100099999999999</v>
      </c>
      <c r="D40">
        <v>436264</v>
      </c>
      <c r="E40">
        <f t="shared" si="0"/>
        <v>1987</v>
      </c>
      <c r="F40">
        <v>4</v>
      </c>
    </row>
    <row r="41" spans="1:6">
      <c r="A41">
        <v>36480.33</v>
      </c>
      <c r="B41">
        <v>8.6166699999999992</v>
      </c>
      <c r="C41">
        <v>1.32325</v>
      </c>
      <c r="D41">
        <v>440592</v>
      </c>
      <c r="E41">
        <f t="shared" si="0"/>
        <v>1988</v>
      </c>
      <c r="F41">
        <v>1</v>
      </c>
    </row>
    <row r="42" spans="1:6">
      <c r="A42">
        <v>37108.660000000003</v>
      </c>
      <c r="B42">
        <v>9.1333300000000008</v>
      </c>
      <c r="C42">
        <v>1.33219</v>
      </c>
      <c r="D42">
        <v>446680</v>
      </c>
      <c r="E42">
        <f t="shared" si="0"/>
        <v>1988</v>
      </c>
      <c r="F42">
        <v>2</v>
      </c>
    </row>
    <row r="43" spans="1:6">
      <c r="A43">
        <v>38423</v>
      </c>
      <c r="B43">
        <v>10.050000000000001</v>
      </c>
      <c r="C43">
        <v>1.3506499999999999</v>
      </c>
      <c r="D43">
        <v>450328</v>
      </c>
      <c r="E43">
        <f t="shared" si="0"/>
        <v>1988</v>
      </c>
      <c r="F43">
        <v>3</v>
      </c>
    </row>
    <row r="44" spans="1:6">
      <c r="A44">
        <v>38480.660000000003</v>
      </c>
      <c r="B44">
        <v>10.83333</v>
      </c>
      <c r="C44">
        <v>1.3664799999999999</v>
      </c>
      <c r="D44">
        <v>453516</v>
      </c>
      <c r="E44">
        <f t="shared" si="0"/>
        <v>1988</v>
      </c>
      <c r="F44">
        <v>4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4706-9952-42B4-8002-A65B757A983D}">
  <dimension ref="A1:C32"/>
  <sheetViews>
    <sheetView workbookViewId="0">
      <selection sqref="A1:C32"/>
    </sheetView>
  </sheetViews>
  <sheetFormatPr defaultRowHeight="15"/>
  <sheetData>
    <row r="1" spans="1:3">
      <c r="A1" t="s">
        <v>1122</v>
      </c>
    </row>
    <row r="3" spans="1:3">
      <c r="A3" t="s">
        <v>1123</v>
      </c>
    </row>
    <row r="5" spans="1:3">
      <c r="A5" t="s">
        <v>456</v>
      </c>
      <c r="B5" t="s">
        <v>1124</v>
      </c>
      <c r="C5" t="s">
        <v>513</v>
      </c>
    </row>
    <row r="6" spans="1:3">
      <c r="A6">
        <v>1967</v>
      </c>
      <c r="B6">
        <v>61284</v>
      </c>
      <c r="C6">
        <v>78221</v>
      </c>
    </row>
    <row r="7" spans="1:3">
      <c r="A7">
        <v>1968</v>
      </c>
      <c r="B7">
        <v>68814</v>
      </c>
      <c r="C7">
        <v>83326</v>
      </c>
    </row>
    <row r="8" spans="1:3">
      <c r="A8">
        <v>1969</v>
      </c>
      <c r="B8">
        <v>76766</v>
      </c>
      <c r="C8">
        <v>90490</v>
      </c>
    </row>
    <row r="9" spans="1:3">
      <c r="A9">
        <v>1970</v>
      </c>
      <c r="B9">
        <v>73576</v>
      </c>
      <c r="C9">
        <v>92692</v>
      </c>
    </row>
    <row r="10" spans="1:3">
      <c r="A10">
        <v>1971</v>
      </c>
      <c r="B10">
        <v>73256</v>
      </c>
      <c r="C10">
        <v>94814</v>
      </c>
    </row>
    <row r="11" spans="1:3">
      <c r="A11">
        <v>1972</v>
      </c>
      <c r="B11">
        <v>67502</v>
      </c>
      <c r="C11">
        <v>92590</v>
      </c>
    </row>
    <row r="12" spans="1:3">
      <c r="A12">
        <v>1973</v>
      </c>
      <c r="B12">
        <v>78832</v>
      </c>
      <c r="C12">
        <v>101419</v>
      </c>
    </row>
    <row r="13" spans="1:3">
      <c r="A13">
        <v>1974</v>
      </c>
      <c r="B13">
        <v>80240</v>
      </c>
      <c r="C13">
        <v>105267</v>
      </c>
    </row>
    <row r="14" spans="1:3">
      <c r="A14">
        <v>1975</v>
      </c>
      <c r="B14">
        <v>84477</v>
      </c>
      <c r="C14">
        <v>112149</v>
      </c>
    </row>
    <row r="15" spans="1:3">
      <c r="A15">
        <v>1976</v>
      </c>
      <c r="B15">
        <v>86038</v>
      </c>
      <c r="C15">
        <v>116078</v>
      </c>
    </row>
    <row r="16" spans="1:3">
      <c r="A16">
        <v>1977</v>
      </c>
      <c r="B16">
        <v>96275</v>
      </c>
      <c r="C16">
        <v>122040</v>
      </c>
    </row>
    <row r="17" spans="1:3">
      <c r="A17">
        <v>1978</v>
      </c>
      <c r="B17">
        <v>101292</v>
      </c>
      <c r="C17">
        <v>128578</v>
      </c>
    </row>
    <row r="18" spans="1:3">
      <c r="A18">
        <v>1979</v>
      </c>
      <c r="B18">
        <v>105448</v>
      </c>
      <c r="C18">
        <v>136851</v>
      </c>
    </row>
    <row r="19" spans="1:3">
      <c r="A19">
        <v>1980</v>
      </c>
      <c r="B19">
        <v>114570</v>
      </c>
      <c r="C19">
        <v>144734</v>
      </c>
    </row>
    <row r="20" spans="1:3">
      <c r="A20">
        <v>1981</v>
      </c>
      <c r="B20">
        <v>120477</v>
      </c>
      <c r="C20">
        <v>152846</v>
      </c>
    </row>
    <row r="21" spans="1:3">
      <c r="A21">
        <v>1982</v>
      </c>
      <c r="B21">
        <v>133868</v>
      </c>
      <c r="C21">
        <v>164318</v>
      </c>
    </row>
    <row r="22" spans="1:3">
      <c r="A22">
        <v>1983</v>
      </c>
      <c r="B22">
        <v>148004</v>
      </c>
      <c r="C22">
        <v>172414</v>
      </c>
    </row>
    <row r="23" spans="1:3">
      <c r="A23">
        <v>1984</v>
      </c>
      <c r="B23">
        <v>149735</v>
      </c>
      <c r="C23">
        <v>178433</v>
      </c>
    </row>
    <row r="24" spans="1:3">
      <c r="A24">
        <v>1985</v>
      </c>
      <c r="B24">
        <v>155200</v>
      </c>
      <c r="C24">
        <v>185753</v>
      </c>
    </row>
    <row r="25" spans="1:3">
      <c r="A25">
        <v>1986</v>
      </c>
      <c r="B25">
        <v>154165</v>
      </c>
      <c r="C25">
        <v>192059</v>
      </c>
    </row>
    <row r="26" spans="1:3">
      <c r="A26">
        <v>1987</v>
      </c>
      <c r="B26">
        <v>155445</v>
      </c>
      <c r="C26">
        <v>191288</v>
      </c>
    </row>
    <row r="27" spans="1:3">
      <c r="A27">
        <v>1988</v>
      </c>
      <c r="B27">
        <v>157199</v>
      </c>
      <c r="C27">
        <v>196055</v>
      </c>
    </row>
    <row r="28" spans="1:3">
      <c r="A28">
        <v>1989</v>
      </c>
      <c r="B28">
        <v>158576</v>
      </c>
      <c r="C28">
        <v>202477</v>
      </c>
    </row>
    <row r="29" spans="1:3">
      <c r="A29">
        <v>1990</v>
      </c>
      <c r="B29">
        <v>169238</v>
      </c>
      <c r="C29">
        <v>223225</v>
      </c>
    </row>
    <row r="30" spans="1:3">
      <c r="A30">
        <v>1991</v>
      </c>
      <c r="B30">
        <v>179001</v>
      </c>
      <c r="C30">
        <v>233231</v>
      </c>
    </row>
    <row r="31" spans="1:3">
      <c r="A31">
        <v>1992</v>
      </c>
      <c r="B31">
        <v>183687</v>
      </c>
      <c r="C31">
        <v>242762</v>
      </c>
    </row>
    <row r="32" spans="1:3">
      <c r="A32">
        <v>1993</v>
      </c>
      <c r="B32">
        <v>198273</v>
      </c>
      <c r="C32">
        <v>259555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5356-A1D3-491D-B369-8490DC30B050}">
  <dimension ref="A1:C50"/>
  <sheetViews>
    <sheetView workbookViewId="0">
      <selection sqref="A1:C50"/>
    </sheetView>
  </sheetViews>
  <sheetFormatPr defaultRowHeight="15"/>
  <sheetData>
    <row r="1" spans="1:3">
      <c r="A1" t="s">
        <v>1125</v>
      </c>
    </row>
    <row r="2" spans="1:3">
      <c r="A2" t="s">
        <v>1126</v>
      </c>
    </row>
    <row r="4" spans="1:3">
      <c r="A4" t="s">
        <v>1127</v>
      </c>
    </row>
    <row r="5" spans="1:3">
      <c r="A5">
        <v>1954</v>
      </c>
      <c r="B5">
        <v>41612</v>
      </c>
      <c r="C5">
        <v>23355</v>
      </c>
    </row>
    <row r="6" spans="1:3">
      <c r="A6">
        <v>1955</v>
      </c>
      <c r="B6">
        <v>45069</v>
      </c>
      <c r="C6">
        <v>26480</v>
      </c>
    </row>
    <row r="7" spans="1:3">
      <c r="A7">
        <v>1956</v>
      </c>
      <c r="B7">
        <v>50642</v>
      </c>
      <c r="C7">
        <v>27740</v>
      </c>
    </row>
    <row r="8" spans="1:3">
      <c r="A8">
        <v>1957</v>
      </c>
      <c r="B8">
        <v>51871</v>
      </c>
      <c r="C8">
        <v>28736</v>
      </c>
    </row>
    <row r="9" spans="1:3">
      <c r="A9">
        <v>1958</v>
      </c>
      <c r="B9">
        <v>50203</v>
      </c>
      <c r="C9">
        <v>27248</v>
      </c>
    </row>
    <row r="10" spans="1:3">
      <c r="A10">
        <v>1959</v>
      </c>
      <c r="B10">
        <v>52913</v>
      </c>
      <c r="C10">
        <v>30286</v>
      </c>
    </row>
    <row r="11" spans="1:3">
      <c r="A11">
        <v>1960</v>
      </c>
      <c r="B11">
        <v>53786</v>
      </c>
      <c r="C11">
        <v>30878</v>
      </c>
    </row>
    <row r="12" spans="1:3">
      <c r="A12">
        <v>1961</v>
      </c>
      <c r="B12">
        <v>54871</v>
      </c>
      <c r="C12">
        <v>30922</v>
      </c>
    </row>
    <row r="13" spans="1:3">
      <c r="A13">
        <v>1962</v>
      </c>
      <c r="B13">
        <v>58172</v>
      </c>
      <c r="C13">
        <v>33358</v>
      </c>
    </row>
    <row r="14" spans="1:3">
      <c r="A14">
        <v>1963</v>
      </c>
      <c r="B14">
        <v>60029</v>
      </c>
      <c r="C14">
        <v>35058</v>
      </c>
    </row>
    <row r="15" spans="1:3">
      <c r="A15">
        <v>1964</v>
      </c>
      <c r="B15">
        <v>63410</v>
      </c>
      <c r="C15">
        <v>37331</v>
      </c>
    </row>
    <row r="16" spans="1:3">
      <c r="A16">
        <v>1965</v>
      </c>
      <c r="B16">
        <v>68207</v>
      </c>
      <c r="C16">
        <v>40995</v>
      </c>
    </row>
    <row r="17" spans="1:3">
      <c r="A17">
        <v>1966</v>
      </c>
      <c r="B17">
        <v>77986</v>
      </c>
      <c r="C17">
        <v>44870</v>
      </c>
    </row>
    <row r="18" spans="1:3">
      <c r="A18">
        <v>1967</v>
      </c>
      <c r="B18">
        <v>84646</v>
      </c>
      <c r="C18">
        <v>46486</v>
      </c>
    </row>
    <row r="19" spans="1:3">
      <c r="A19">
        <v>1968</v>
      </c>
      <c r="B19">
        <v>90560</v>
      </c>
      <c r="C19">
        <v>50229</v>
      </c>
    </row>
    <row r="20" spans="1:3">
      <c r="A20">
        <v>1969</v>
      </c>
      <c r="B20">
        <v>98145</v>
      </c>
      <c r="C20">
        <v>53501</v>
      </c>
    </row>
    <row r="21" spans="1:3">
      <c r="A21">
        <v>1970</v>
      </c>
      <c r="B21">
        <v>101599</v>
      </c>
      <c r="C21">
        <v>52805</v>
      </c>
    </row>
    <row r="22" spans="1:3">
      <c r="A22">
        <v>1971</v>
      </c>
      <c r="B22">
        <v>102567</v>
      </c>
      <c r="C22">
        <v>55906</v>
      </c>
    </row>
    <row r="23" spans="1:3">
      <c r="A23">
        <v>1972</v>
      </c>
      <c r="B23">
        <v>108121</v>
      </c>
      <c r="C23">
        <v>63027</v>
      </c>
    </row>
    <row r="24" spans="1:3">
      <c r="A24">
        <v>1973</v>
      </c>
      <c r="B24">
        <v>124499</v>
      </c>
      <c r="C24">
        <v>72931</v>
      </c>
    </row>
    <row r="25" spans="1:3">
      <c r="A25">
        <v>1974</v>
      </c>
      <c r="B25">
        <v>157625</v>
      </c>
      <c r="C25">
        <v>84790</v>
      </c>
    </row>
    <row r="26" spans="1:3">
      <c r="A26">
        <v>1975</v>
      </c>
      <c r="B26">
        <v>159708</v>
      </c>
      <c r="C26">
        <v>86589</v>
      </c>
    </row>
    <row r="27" spans="1:3">
      <c r="A27">
        <v>1976</v>
      </c>
      <c r="B27">
        <v>174636</v>
      </c>
      <c r="C27">
        <v>98797</v>
      </c>
    </row>
    <row r="28" spans="1:3">
      <c r="A28">
        <v>1977</v>
      </c>
      <c r="B28">
        <v>188378</v>
      </c>
      <c r="C28">
        <v>113201</v>
      </c>
    </row>
    <row r="29" spans="1:3">
      <c r="A29">
        <v>1978</v>
      </c>
      <c r="B29">
        <v>211691</v>
      </c>
      <c r="C29">
        <v>126905</v>
      </c>
    </row>
    <row r="30" spans="1:3">
      <c r="A30">
        <v>1979</v>
      </c>
      <c r="B30">
        <v>242157</v>
      </c>
      <c r="C30">
        <v>143936</v>
      </c>
    </row>
    <row r="31" spans="1:3">
      <c r="A31">
        <v>1980</v>
      </c>
      <c r="B31">
        <v>265215</v>
      </c>
      <c r="C31">
        <v>154391</v>
      </c>
    </row>
    <row r="32" spans="1:3">
      <c r="A32">
        <v>1981</v>
      </c>
      <c r="B32">
        <v>283413</v>
      </c>
      <c r="C32">
        <v>168129</v>
      </c>
    </row>
    <row r="33" spans="1:3">
      <c r="A33">
        <v>1982</v>
      </c>
      <c r="B33">
        <v>311852</v>
      </c>
      <c r="C33">
        <v>163351</v>
      </c>
    </row>
    <row r="34" spans="1:3">
      <c r="A34">
        <v>1983</v>
      </c>
      <c r="B34">
        <v>312379</v>
      </c>
      <c r="C34">
        <v>172547</v>
      </c>
    </row>
    <row r="35" spans="1:3">
      <c r="A35">
        <v>1984</v>
      </c>
      <c r="B35">
        <v>339516</v>
      </c>
      <c r="C35">
        <v>190682</v>
      </c>
    </row>
    <row r="36" spans="1:3">
      <c r="A36">
        <v>1985</v>
      </c>
      <c r="B36">
        <v>334749</v>
      </c>
      <c r="C36">
        <v>194538</v>
      </c>
    </row>
    <row r="37" spans="1:3">
      <c r="A37">
        <v>1986</v>
      </c>
      <c r="B37">
        <v>322654</v>
      </c>
      <c r="C37">
        <v>194657</v>
      </c>
    </row>
    <row r="38" spans="1:3">
      <c r="A38">
        <v>1987</v>
      </c>
      <c r="B38">
        <v>338109</v>
      </c>
      <c r="C38">
        <v>206326</v>
      </c>
    </row>
    <row r="39" spans="1:3">
      <c r="A39">
        <v>1988</v>
      </c>
      <c r="B39">
        <v>369374</v>
      </c>
      <c r="C39">
        <v>224619</v>
      </c>
    </row>
    <row r="40" spans="1:3">
      <c r="A40">
        <v>1989</v>
      </c>
      <c r="B40">
        <v>391212</v>
      </c>
      <c r="C40">
        <v>236698</v>
      </c>
    </row>
    <row r="41" spans="1:3">
      <c r="A41">
        <v>1990</v>
      </c>
      <c r="B41">
        <v>405073</v>
      </c>
      <c r="C41">
        <v>242686</v>
      </c>
    </row>
    <row r="42" spans="1:3">
      <c r="A42">
        <v>1991</v>
      </c>
      <c r="B42">
        <v>390905</v>
      </c>
      <c r="C42">
        <v>239847</v>
      </c>
    </row>
    <row r="43" spans="1:3">
      <c r="A43">
        <v>1992</v>
      </c>
      <c r="B43">
        <v>382510</v>
      </c>
      <c r="C43">
        <v>250394</v>
      </c>
    </row>
    <row r="44" spans="1:3">
      <c r="A44">
        <v>1993</v>
      </c>
      <c r="B44">
        <v>384039</v>
      </c>
      <c r="C44">
        <v>260635</v>
      </c>
    </row>
    <row r="45" spans="1:3">
      <c r="A45">
        <v>1994</v>
      </c>
      <c r="B45">
        <v>404877</v>
      </c>
      <c r="C45">
        <v>279002</v>
      </c>
    </row>
    <row r="46" spans="1:3">
      <c r="A46">
        <v>1995</v>
      </c>
      <c r="B46">
        <v>430985</v>
      </c>
      <c r="C46">
        <v>299555</v>
      </c>
    </row>
    <row r="47" spans="1:3">
      <c r="A47">
        <v>1996</v>
      </c>
      <c r="B47">
        <v>436729</v>
      </c>
      <c r="C47">
        <v>309622</v>
      </c>
    </row>
    <row r="48" spans="1:3">
      <c r="A48">
        <v>1997</v>
      </c>
      <c r="B48">
        <v>456133</v>
      </c>
      <c r="C48">
        <v>327452</v>
      </c>
    </row>
    <row r="49" spans="1:3">
      <c r="A49">
        <v>1998</v>
      </c>
      <c r="B49">
        <v>466798</v>
      </c>
      <c r="C49">
        <v>337687</v>
      </c>
    </row>
    <row r="50" spans="1:3">
      <c r="A50">
        <v>1999</v>
      </c>
      <c r="B50">
        <v>470377</v>
      </c>
      <c r="C50">
        <v>354961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3DB2C-540C-43D0-86FC-87D9293DD335}">
  <dimension ref="A1:C31"/>
  <sheetViews>
    <sheetView topLeftCell="A11" workbookViewId="0">
      <selection sqref="A1:C31"/>
    </sheetView>
  </sheetViews>
  <sheetFormatPr defaultRowHeight="15"/>
  <sheetData>
    <row r="1" spans="1:3">
      <c r="A1" t="s">
        <v>1128</v>
      </c>
    </row>
    <row r="2" spans="1:3">
      <c r="A2" t="s">
        <v>1129</v>
      </c>
    </row>
    <row r="3" spans="1:3">
      <c r="A3" t="s">
        <v>1130</v>
      </c>
    </row>
    <row r="5" spans="1:3">
      <c r="A5" t="s">
        <v>802</v>
      </c>
    </row>
    <row r="6" spans="1:3">
      <c r="A6" t="s">
        <v>1131</v>
      </c>
    </row>
    <row r="7" spans="1:3">
      <c r="A7" t="s">
        <v>1132</v>
      </c>
    </row>
    <row r="9" spans="1:3">
      <c r="A9" t="s">
        <v>456</v>
      </c>
      <c r="B9" t="s">
        <v>92</v>
      </c>
      <c r="C9" t="s">
        <v>11</v>
      </c>
    </row>
    <row r="10" spans="1:3">
      <c r="A10">
        <v>1970</v>
      </c>
      <c r="B10">
        <v>36.99</v>
      </c>
      <c r="C10">
        <v>52.805</v>
      </c>
    </row>
    <row r="11" spans="1:3">
      <c r="A11">
        <v>1971</v>
      </c>
      <c r="B11">
        <v>33.6</v>
      </c>
      <c r="C11">
        <v>55.905999999999999</v>
      </c>
    </row>
    <row r="12" spans="1:3">
      <c r="A12">
        <v>1972</v>
      </c>
      <c r="B12">
        <v>35.42</v>
      </c>
      <c r="C12">
        <v>63.027000000000001</v>
      </c>
    </row>
    <row r="13" spans="1:3">
      <c r="A13">
        <v>1973</v>
      </c>
      <c r="B13">
        <v>42.35</v>
      </c>
      <c r="C13">
        <v>72.930999999999997</v>
      </c>
    </row>
    <row r="14" spans="1:3">
      <c r="A14">
        <v>1974</v>
      </c>
      <c r="B14">
        <v>52.48</v>
      </c>
      <c r="C14">
        <v>84.79</v>
      </c>
    </row>
    <row r="15" spans="1:3">
      <c r="A15">
        <v>1975</v>
      </c>
      <c r="B15">
        <v>53.66</v>
      </c>
      <c r="C15">
        <v>86.588999999999999</v>
      </c>
    </row>
    <row r="16" spans="1:3">
      <c r="A16">
        <v>1976</v>
      </c>
      <c r="B16">
        <v>58.53</v>
      </c>
      <c r="C16">
        <v>98.796999999999997</v>
      </c>
    </row>
    <row r="17" spans="1:3">
      <c r="A17">
        <v>1977</v>
      </c>
      <c r="B17">
        <v>67.48</v>
      </c>
      <c r="C17">
        <v>113.20099999999999</v>
      </c>
    </row>
    <row r="18" spans="1:3">
      <c r="A18">
        <v>1978</v>
      </c>
      <c r="B18">
        <v>78.13</v>
      </c>
      <c r="C18">
        <v>126.905</v>
      </c>
    </row>
    <row r="19" spans="1:3">
      <c r="A19">
        <v>1979</v>
      </c>
      <c r="B19">
        <v>95.13</v>
      </c>
      <c r="C19">
        <v>143.93600000000001</v>
      </c>
    </row>
    <row r="20" spans="1:3">
      <c r="A20">
        <v>1980</v>
      </c>
      <c r="B20">
        <v>112.6</v>
      </c>
      <c r="C20">
        <v>154.39099999999999</v>
      </c>
    </row>
    <row r="21" spans="1:3">
      <c r="A21">
        <v>1981</v>
      </c>
      <c r="B21">
        <v>128.68</v>
      </c>
      <c r="C21">
        <v>168.12899999999999</v>
      </c>
    </row>
    <row r="22" spans="1:3">
      <c r="A22">
        <v>1982</v>
      </c>
      <c r="B22">
        <v>123.97</v>
      </c>
      <c r="C22">
        <v>163.351</v>
      </c>
    </row>
    <row r="23" spans="1:3">
      <c r="A23">
        <v>1983</v>
      </c>
      <c r="B23">
        <v>117.35</v>
      </c>
      <c r="C23">
        <v>172.547</v>
      </c>
    </row>
    <row r="24" spans="1:3">
      <c r="A24">
        <v>1984</v>
      </c>
      <c r="B24">
        <v>139.61000000000001</v>
      </c>
      <c r="C24">
        <v>190.68199999999999</v>
      </c>
    </row>
    <row r="25" spans="1:3">
      <c r="A25">
        <v>1985</v>
      </c>
      <c r="B25">
        <v>152.88</v>
      </c>
      <c r="C25">
        <v>194.53800000000001</v>
      </c>
    </row>
    <row r="26" spans="1:3">
      <c r="A26">
        <v>1986</v>
      </c>
      <c r="B26">
        <v>137.94999999999999</v>
      </c>
      <c r="C26">
        <v>194.65700000000001</v>
      </c>
    </row>
    <row r="27" spans="1:3">
      <c r="A27">
        <v>1987</v>
      </c>
      <c r="B27">
        <v>141.06</v>
      </c>
      <c r="C27">
        <v>206.32599999999999</v>
      </c>
    </row>
    <row r="28" spans="1:3">
      <c r="A28">
        <v>1988</v>
      </c>
      <c r="B28">
        <v>163.44999999999999</v>
      </c>
      <c r="C28">
        <v>223.541</v>
      </c>
    </row>
    <row r="29" spans="1:3">
      <c r="A29">
        <v>1989</v>
      </c>
      <c r="B29">
        <v>183.8</v>
      </c>
      <c r="C29">
        <v>232.72399999999999</v>
      </c>
    </row>
    <row r="30" spans="1:3">
      <c r="A30">
        <v>1990</v>
      </c>
      <c r="B30">
        <v>192.61</v>
      </c>
      <c r="C30">
        <v>239.459</v>
      </c>
    </row>
    <row r="31" spans="1:3">
      <c r="A31">
        <v>1991</v>
      </c>
      <c r="B31">
        <v>182.81</v>
      </c>
      <c r="C31">
        <v>235.142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24AB-F1C6-4A18-ABD4-A609ABB655D5}">
  <dimension ref="A1:D45"/>
  <sheetViews>
    <sheetView topLeftCell="A25" workbookViewId="0">
      <selection sqref="A1:D45"/>
    </sheetView>
  </sheetViews>
  <sheetFormatPr defaultRowHeight="15"/>
  <sheetData>
    <row r="1" spans="1:4">
      <c r="A1" t="s">
        <v>1133</v>
      </c>
    </row>
    <row r="3" spans="1:4">
      <c r="A3" t="s">
        <v>1134</v>
      </c>
    </row>
    <row r="5" spans="1:4">
      <c r="A5" t="s">
        <v>456</v>
      </c>
      <c r="B5" t="s">
        <v>1135</v>
      </c>
      <c r="C5" t="s">
        <v>746</v>
      </c>
      <c r="D5" t="s">
        <v>1136</v>
      </c>
    </row>
    <row r="6" spans="1:4">
      <c r="A6">
        <v>1960</v>
      </c>
      <c r="B6">
        <v>4.9000000000000004</v>
      </c>
      <c r="C6">
        <v>60827</v>
      </c>
      <c r="D6">
        <v>4.41</v>
      </c>
    </row>
    <row r="7" spans="1:4">
      <c r="A7">
        <v>1961</v>
      </c>
      <c r="B7">
        <v>5.2</v>
      </c>
      <c r="C7">
        <v>61159</v>
      </c>
      <c r="D7">
        <v>4.3499999999999996</v>
      </c>
    </row>
    <row r="8" spans="1:4">
      <c r="A8">
        <v>1962</v>
      </c>
      <c r="B8">
        <v>5.7</v>
      </c>
      <c r="C8">
        <v>65662</v>
      </c>
      <c r="D8">
        <v>4.33</v>
      </c>
    </row>
    <row r="9" spans="1:4">
      <c r="A9">
        <v>1963</v>
      </c>
      <c r="B9">
        <v>6.5</v>
      </c>
      <c r="C9">
        <v>68995</v>
      </c>
      <c r="D9">
        <v>4.26</v>
      </c>
    </row>
    <row r="10" spans="1:4">
      <c r="A10">
        <v>1964</v>
      </c>
      <c r="B10">
        <v>7.3</v>
      </c>
      <c r="C10">
        <v>73682</v>
      </c>
      <c r="D10">
        <v>4.4000000000000004</v>
      </c>
    </row>
    <row r="11" spans="1:4">
      <c r="A11">
        <v>1965</v>
      </c>
      <c r="B11">
        <v>8.5</v>
      </c>
      <c r="C11">
        <v>80283</v>
      </c>
      <c r="D11">
        <v>4.49</v>
      </c>
    </row>
    <row r="12" spans="1:4">
      <c r="A12">
        <v>1966</v>
      </c>
      <c r="B12">
        <v>10.6</v>
      </c>
      <c r="C12">
        <v>87187</v>
      </c>
      <c r="D12">
        <v>5.13</v>
      </c>
    </row>
    <row r="13" spans="1:4">
      <c r="A13">
        <v>1967</v>
      </c>
      <c r="B13">
        <v>11.2</v>
      </c>
      <c r="C13">
        <v>90820</v>
      </c>
      <c r="D13">
        <v>5.51</v>
      </c>
    </row>
    <row r="14" spans="1:4">
      <c r="A14">
        <v>1968</v>
      </c>
      <c r="B14">
        <v>11.9</v>
      </c>
      <c r="C14">
        <v>96685</v>
      </c>
      <c r="D14">
        <v>6.18</v>
      </c>
    </row>
    <row r="15" spans="1:4">
      <c r="A15">
        <v>1969</v>
      </c>
      <c r="B15">
        <v>14.6</v>
      </c>
      <c r="C15">
        <v>105690</v>
      </c>
      <c r="D15">
        <v>7.03</v>
      </c>
    </row>
    <row r="16" spans="1:4">
      <c r="A16">
        <v>1970</v>
      </c>
      <c r="B16">
        <v>16.7</v>
      </c>
      <c r="C16">
        <v>108221</v>
      </c>
      <c r="D16">
        <v>8.0399999999999991</v>
      </c>
    </row>
    <row r="17" spans="1:4">
      <c r="A17">
        <v>1971</v>
      </c>
      <c r="B17">
        <v>17.3</v>
      </c>
      <c r="C17">
        <v>116895</v>
      </c>
      <c r="D17">
        <v>7.39</v>
      </c>
    </row>
    <row r="18" spans="1:4">
      <c r="A18">
        <v>1972</v>
      </c>
      <c r="B18">
        <v>19.3</v>
      </c>
      <c r="C18">
        <v>131081</v>
      </c>
      <c r="D18">
        <v>7.21</v>
      </c>
    </row>
    <row r="19" spans="1:4">
      <c r="A19">
        <v>1973</v>
      </c>
      <c r="B19">
        <v>23</v>
      </c>
      <c r="C19">
        <v>153677</v>
      </c>
      <c r="D19">
        <v>7.44</v>
      </c>
    </row>
    <row r="20" spans="1:4">
      <c r="A20">
        <v>1974</v>
      </c>
      <c r="B20">
        <v>26.8</v>
      </c>
      <c r="C20">
        <v>177912</v>
      </c>
      <c r="D20">
        <v>8.57</v>
      </c>
    </row>
    <row r="21" spans="1:4">
      <c r="A21">
        <v>1975</v>
      </c>
      <c r="B21">
        <v>28.2</v>
      </c>
      <c r="C21">
        <v>182198</v>
      </c>
      <c r="D21">
        <v>8.83</v>
      </c>
    </row>
    <row r="22" spans="1:4">
      <c r="A22">
        <v>1976</v>
      </c>
      <c r="B22">
        <v>32.4</v>
      </c>
      <c r="C22">
        <v>204150</v>
      </c>
      <c r="D22">
        <v>8.43</v>
      </c>
    </row>
    <row r="23" spans="1:4">
      <c r="A23">
        <v>1977</v>
      </c>
      <c r="B23">
        <v>38.6</v>
      </c>
      <c r="C23">
        <v>229513</v>
      </c>
      <c r="D23">
        <v>8.02</v>
      </c>
    </row>
    <row r="24" spans="1:4">
      <c r="A24">
        <v>1978</v>
      </c>
      <c r="B24">
        <v>48.3</v>
      </c>
      <c r="C24">
        <v>260320</v>
      </c>
      <c r="D24">
        <v>8.73</v>
      </c>
    </row>
    <row r="25" spans="1:4">
      <c r="A25">
        <v>1979</v>
      </c>
      <c r="B25">
        <v>58.6</v>
      </c>
      <c r="C25">
        <v>297701</v>
      </c>
      <c r="D25">
        <v>9.6300000000000008</v>
      </c>
    </row>
    <row r="26" spans="1:4">
      <c r="A26">
        <v>1980</v>
      </c>
      <c r="B26">
        <v>69.599999999999994</v>
      </c>
      <c r="C26">
        <v>327233</v>
      </c>
      <c r="D26">
        <v>11.94</v>
      </c>
    </row>
    <row r="27" spans="1:4">
      <c r="A27">
        <v>1981</v>
      </c>
      <c r="B27">
        <v>82.4</v>
      </c>
      <c r="C27">
        <v>355822</v>
      </c>
      <c r="D27">
        <v>14.17</v>
      </c>
    </row>
    <row r="28" spans="1:4">
      <c r="A28">
        <v>1982</v>
      </c>
      <c r="B28">
        <v>88.9</v>
      </c>
      <c r="C28">
        <v>347625</v>
      </c>
      <c r="D28">
        <v>13.79</v>
      </c>
    </row>
    <row r="29" spans="1:4">
      <c r="A29">
        <v>1983</v>
      </c>
      <c r="B29">
        <v>100.8</v>
      </c>
      <c r="C29">
        <v>369286</v>
      </c>
      <c r="D29">
        <v>12.04</v>
      </c>
    </row>
    <row r="30" spans="1:4">
      <c r="A30">
        <v>1984</v>
      </c>
      <c r="B30">
        <v>121.7</v>
      </c>
      <c r="C30">
        <v>410124</v>
      </c>
      <c r="D30">
        <v>12.71</v>
      </c>
    </row>
    <row r="31" spans="1:4">
      <c r="A31">
        <v>1985</v>
      </c>
      <c r="B31">
        <v>130.80000000000001</v>
      </c>
      <c r="C31">
        <v>422583</v>
      </c>
      <c r="D31">
        <v>11.37</v>
      </c>
    </row>
    <row r="32" spans="1:4">
      <c r="A32">
        <v>1986</v>
      </c>
      <c r="B32">
        <v>137.6</v>
      </c>
      <c r="C32">
        <v>430419</v>
      </c>
      <c r="D32">
        <v>9.02</v>
      </c>
    </row>
    <row r="33" spans="1:4">
      <c r="A33">
        <v>1987</v>
      </c>
      <c r="B33">
        <v>141.9</v>
      </c>
      <c r="C33">
        <v>457735</v>
      </c>
      <c r="D33">
        <v>9.3800000000000008</v>
      </c>
    </row>
    <row r="34" spans="1:4">
      <c r="A34">
        <v>1988</v>
      </c>
      <c r="B34">
        <v>155.9</v>
      </c>
      <c r="C34">
        <v>497157</v>
      </c>
      <c r="D34">
        <v>9.7100000000000009</v>
      </c>
    </row>
    <row r="35" spans="1:4">
      <c r="A35">
        <v>1989</v>
      </c>
      <c r="B35">
        <v>173</v>
      </c>
      <c r="C35">
        <v>527039</v>
      </c>
      <c r="D35">
        <v>9.26</v>
      </c>
    </row>
    <row r="36" spans="1:4">
      <c r="A36">
        <v>1990</v>
      </c>
      <c r="B36">
        <v>176.1</v>
      </c>
      <c r="C36">
        <v>545909</v>
      </c>
      <c r="D36">
        <v>9.32</v>
      </c>
    </row>
    <row r="37" spans="1:4">
      <c r="A37">
        <v>1991</v>
      </c>
      <c r="B37">
        <v>181.4</v>
      </c>
      <c r="C37">
        <v>542815</v>
      </c>
      <c r="D37">
        <v>8.77</v>
      </c>
    </row>
    <row r="38" spans="1:4">
      <c r="A38">
        <v>1992</v>
      </c>
      <c r="B38">
        <v>197.5</v>
      </c>
      <c r="C38">
        <v>567176</v>
      </c>
      <c r="D38">
        <v>8.14</v>
      </c>
    </row>
    <row r="39" spans="1:4">
      <c r="A39">
        <v>1993</v>
      </c>
      <c r="B39">
        <v>215</v>
      </c>
      <c r="C39">
        <v>595628</v>
      </c>
      <c r="D39">
        <v>7.22</v>
      </c>
    </row>
    <row r="40" spans="1:4">
      <c r="A40">
        <v>1994</v>
      </c>
      <c r="B40">
        <v>233.7</v>
      </c>
      <c r="C40">
        <v>639163</v>
      </c>
      <c r="D40">
        <v>7.96</v>
      </c>
    </row>
    <row r="41" spans="1:4">
      <c r="A41">
        <v>1995</v>
      </c>
      <c r="B41">
        <v>262</v>
      </c>
      <c r="C41">
        <v>684982</v>
      </c>
      <c r="D41">
        <v>7.59</v>
      </c>
    </row>
    <row r="42" spans="1:4">
      <c r="A42">
        <v>1996</v>
      </c>
      <c r="B42">
        <v>287.3</v>
      </c>
      <c r="C42">
        <v>718113</v>
      </c>
      <c r="D42">
        <v>7.37</v>
      </c>
    </row>
    <row r="43" spans="1:4">
      <c r="A43">
        <v>1997</v>
      </c>
      <c r="B43">
        <v>325.2</v>
      </c>
      <c r="C43">
        <v>753445</v>
      </c>
      <c r="D43">
        <v>7.26</v>
      </c>
    </row>
    <row r="44" spans="1:4">
      <c r="A44">
        <v>1998</v>
      </c>
      <c r="B44">
        <v>367.4</v>
      </c>
      <c r="C44">
        <v>779413</v>
      </c>
      <c r="D44">
        <v>6.53</v>
      </c>
    </row>
    <row r="45" spans="1:4">
      <c r="A45">
        <v>1999</v>
      </c>
      <c r="B45">
        <v>433</v>
      </c>
      <c r="C45">
        <v>833079</v>
      </c>
      <c r="D45">
        <v>7.04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FB7F-A1CF-4DA5-BE0F-61E71432A66A}">
  <dimension ref="A1:D45"/>
  <sheetViews>
    <sheetView topLeftCell="A25" workbookViewId="0">
      <selection sqref="A1:D45"/>
    </sheetView>
  </sheetViews>
  <sheetFormatPr defaultRowHeight="15"/>
  <sheetData>
    <row r="1" spans="1:4">
      <c r="A1" t="s">
        <v>1137</v>
      </c>
    </row>
    <row r="2" spans="1:4">
      <c r="A2" t="s">
        <v>1138</v>
      </c>
    </row>
    <row r="3" spans="1:4">
      <c r="A3" t="s">
        <v>1139</v>
      </c>
    </row>
    <row r="5" spans="1:4">
      <c r="A5" t="s">
        <v>456</v>
      </c>
      <c r="B5" t="s">
        <v>1140</v>
      </c>
      <c r="C5" t="s">
        <v>1141</v>
      </c>
      <c r="D5" t="s">
        <v>418</v>
      </c>
    </row>
    <row r="6" spans="1:4">
      <c r="A6">
        <v>1960</v>
      </c>
      <c r="B6">
        <v>60</v>
      </c>
      <c r="C6">
        <v>48.8</v>
      </c>
      <c r="D6">
        <v>5.5</v>
      </c>
    </row>
    <row r="7" spans="1:4">
      <c r="A7">
        <v>1961</v>
      </c>
      <c r="B7">
        <v>61.8</v>
      </c>
      <c r="C7">
        <v>50.6</v>
      </c>
      <c r="D7">
        <v>6.7</v>
      </c>
    </row>
    <row r="8" spans="1:4">
      <c r="A8">
        <v>1962</v>
      </c>
      <c r="B8">
        <v>63.9</v>
      </c>
      <c r="C8">
        <v>52.9</v>
      </c>
      <c r="D8">
        <v>5.5</v>
      </c>
    </row>
    <row r="9" spans="1:4">
      <c r="A9">
        <v>1963</v>
      </c>
      <c r="B9">
        <v>65.400000000000006</v>
      </c>
      <c r="C9">
        <v>55</v>
      </c>
      <c r="D9">
        <v>5.7</v>
      </c>
    </row>
    <row r="10" spans="1:4">
      <c r="A10">
        <v>1964</v>
      </c>
      <c r="B10">
        <v>67.900000000000006</v>
      </c>
      <c r="C10">
        <v>57.5</v>
      </c>
      <c r="D10">
        <v>5.2</v>
      </c>
    </row>
    <row r="11" spans="1:4">
      <c r="A11">
        <v>1965</v>
      </c>
      <c r="B11">
        <v>69.400000000000006</v>
      </c>
      <c r="C11">
        <v>59.6</v>
      </c>
      <c r="D11">
        <v>4.5</v>
      </c>
    </row>
    <row r="12" spans="1:4">
      <c r="A12">
        <v>1966</v>
      </c>
      <c r="B12">
        <v>71.900000000000006</v>
      </c>
      <c r="C12">
        <v>62</v>
      </c>
      <c r="D12">
        <v>3.8</v>
      </c>
    </row>
    <row r="13" spans="1:4">
      <c r="A13">
        <v>1967</v>
      </c>
      <c r="B13">
        <v>73.8</v>
      </c>
      <c r="C13">
        <v>63.4</v>
      </c>
      <c r="D13">
        <v>3.8</v>
      </c>
    </row>
    <row r="14" spans="1:4">
      <c r="A14">
        <v>1968</v>
      </c>
      <c r="B14">
        <v>76.3</v>
      </c>
      <c r="C14">
        <v>65.400000000000006</v>
      </c>
      <c r="D14">
        <v>3.6</v>
      </c>
    </row>
    <row r="15" spans="1:4">
      <c r="A15">
        <v>1969</v>
      </c>
      <c r="B15">
        <v>77.400000000000006</v>
      </c>
      <c r="C15">
        <v>65.7</v>
      </c>
      <c r="D15">
        <v>3.5</v>
      </c>
    </row>
    <row r="16" spans="1:4">
      <c r="A16">
        <v>1970</v>
      </c>
      <c r="B16">
        <v>78.900000000000006</v>
      </c>
      <c r="C16">
        <v>67</v>
      </c>
      <c r="D16">
        <v>4.9000000000000004</v>
      </c>
    </row>
    <row r="17" spans="1:4">
      <c r="A17">
        <v>1971</v>
      </c>
      <c r="B17">
        <v>80.400000000000006</v>
      </c>
      <c r="C17">
        <v>69.900000000000006</v>
      </c>
      <c r="D17">
        <v>5.9</v>
      </c>
    </row>
    <row r="18" spans="1:4">
      <c r="A18">
        <v>1972</v>
      </c>
      <c r="B18">
        <v>82.7</v>
      </c>
      <c r="C18">
        <v>72.2</v>
      </c>
      <c r="D18">
        <v>5.6</v>
      </c>
    </row>
    <row r="19" spans="1:4">
      <c r="A19">
        <v>1973</v>
      </c>
      <c r="B19">
        <v>84.5</v>
      </c>
      <c r="C19">
        <v>74.5</v>
      </c>
      <c r="D19">
        <v>4.9000000000000004</v>
      </c>
    </row>
    <row r="20" spans="1:4">
      <c r="A20">
        <v>1974</v>
      </c>
      <c r="B20">
        <v>83.5</v>
      </c>
      <c r="C20">
        <v>73.2</v>
      </c>
      <c r="D20">
        <v>5.6</v>
      </c>
    </row>
    <row r="21" spans="1:4">
      <c r="A21">
        <v>1975</v>
      </c>
      <c r="B21">
        <v>84.4</v>
      </c>
      <c r="C21">
        <v>75.8</v>
      </c>
      <c r="D21">
        <v>8.5</v>
      </c>
    </row>
    <row r="22" spans="1:4">
      <c r="A22">
        <v>1976</v>
      </c>
      <c r="B22">
        <v>86.8</v>
      </c>
      <c r="C22">
        <v>78.5</v>
      </c>
      <c r="D22">
        <v>7.7</v>
      </c>
    </row>
    <row r="23" spans="1:4">
      <c r="A23">
        <v>1977</v>
      </c>
      <c r="B23">
        <v>87.9</v>
      </c>
      <c r="C23">
        <v>79.8</v>
      </c>
      <c r="D23">
        <v>7.1</v>
      </c>
    </row>
    <row r="24" spans="1:4">
      <c r="A24">
        <v>1978</v>
      </c>
      <c r="B24">
        <v>89.5</v>
      </c>
      <c r="C24">
        <v>80.7</v>
      </c>
      <c r="D24">
        <v>6.1</v>
      </c>
    </row>
    <row r="25" spans="1:4">
      <c r="A25">
        <v>1979</v>
      </c>
      <c r="B25">
        <v>89.7</v>
      </c>
      <c r="C25">
        <v>80.7</v>
      </c>
      <c r="D25">
        <v>5.8</v>
      </c>
    </row>
    <row r="26" spans="1:4">
      <c r="A26">
        <v>1980</v>
      </c>
      <c r="B26">
        <v>89.5</v>
      </c>
      <c r="C26">
        <v>80.400000000000006</v>
      </c>
      <c r="D26">
        <v>7.1</v>
      </c>
    </row>
    <row r="27" spans="1:4">
      <c r="A27">
        <v>1981</v>
      </c>
      <c r="B27">
        <v>89.5</v>
      </c>
      <c r="C27">
        <v>82</v>
      </c>
      <c r="D27">
        <v>7.6</v>
      </c>
    </row>
    <row r="28" spans="1:4">
      <c r="A28">
        <v>1982</v>
      </c>
      <c r="B28">
        <v>90.9</v>
      </c>
      <c r="C28">
        <v>81.7</v>
      </c>
      <c r="D28">
        <v>9.6999999999999993</v>
      </c>
    </row>
    <row r="29" spans="1:4">
      <c r="A29">
        <v>1983</v>
      </c>
      <c r="B29">
        <v>91</v>
      </c>
      <c r="C29">
        <v>84.6</v>
      </c>
      <c r="D29">
        <v>9.6</v>
      </c>
    </row>
    <row r="30" spans="1:4">
      <c r="A30">
        <v>1984</v>
      </c>
      <c r="B30">
        <v>91.3</v>
      </c>
      <c r="C30">
        <v>87</v>
      </c>
      <c r="D30">
        <v>7.5</v>
      </c>
    </row>
    <row r="31" spans="1:4">
      <c r="A31">
        <v>1985</v>
      </c>
      <c r="B31">
        <v>92.7</v>
      </c>
      <c r="C31">
        <v>88.7</v>
      </c>
      <c r="D31">
        <v>7.2</v>
      </c>
    </row>
    <row r="32" spans="1:4">
      <c r="A32">
        <v>1986</v>
      </c>
      <c r="B32">
        <v>95.8</v>
      </c>
      <c r="C32">
        <v>91.4</v>
      </c>
      <c r="D32">
        <v>7</v>
      </c>
    </row>
    <row r="33" spans="1:4">
      <c r="A33">
        <v>1987</v>
      </c>
      <c r="B33">
        <v>96.3</v>
      </c>
      <c r="C33">
        <v>91.9</v>
      </c>
      <c r="D33">
        <v>6.2</v>
      </c>
    </row>
    <row r="34" spans="1:4">
      <c r="A34">
        <v>1988</v>
      </c>
      <c r="B34">
        <v>97.3</v>
      </c>
      <c r="C34">
        <v>93</v>
      </c>
      <c r="D34">
        <v>5.5</v>
      </c>
    </row>
    <row r="35" spans="1:4">
      <c r="A35">
        <v>1989</v>
      </c>
      <c r="B35">
        <v>95.9</v>
      </c>
      <c r="C35">
        <v>93.9</v>
      </c>
      <c r="D35">
        <v>5.3</v>
      </c>
    </row>
    <row r="36" spans="1:4">
      <c r="A36">
        <v>1990</v>
      </c>
      <c r="B36">
        <v>96.5</v>
      </c>
      <c r="C36">
        <v>95.2</v>
      </c>
      <c r="D36">
        <v>5.6</v>
      </c>
    </row>
    <row r="37" spans="1:4">
      <c r="A37">
        <v>1991</v>
      </c>
      <c r="B37">
        <v>97.5</v>
      </c>
      <c r="C37">
        <v>96.3</v>
      </c>
      <c r="D37">
        <v>6.8</v>
      </c>
    </row>
    <row r="38" spans="1:4">
      <c r="A38">
        <v>1992</v>
      </c>
      <c r="B38">
        <v>100</v>
      </c>
      <c r="C38">
        <v>100</v>
      </c>
      <c r="D38">
        <v>7.5</v>
      </c>
    </row>
    <row r="39" spans="1:4">
      <c r="A39">
        <v>1993</v>
      </c>
      <c r="B39">
        <v>99.9</v>
      </c>
      <c r="C39">
        <v>100.5</v>
      </c>
      <c r="D39">
        <v>6.9</v>
      </c>
    </row>
    <row r="40" spans="1:4">
      <c r="A40">
        <v>1994</v>
      </c>
      <c r="B40">
        <v>99.7</v>
      </c>
      <c r="C40">
        <v>101.9</v>
      </c>
      <c r="D40">
        <v>6.1</v>
      </c>
    </row>
    <row r="41" spans="1:4">
      <c r="A41">
        <v>1995</v>
      </c>
      <c r="B41">
        <v>99.3</v>
      </c>
      <c r="C41">
        <v>102.6</v>
      </c>
      <c r="D41">
        <v>5.6</v>
      </c>
    </row>
    <row r="42" spans="1:4">
      <c r="A42">
        <v>1996</v>
      </c>
      <c r="B42">
        <v>99.7</v>
      </c>
      <c r="C42">
        <v>105.4</v>
      </c>
      <c r="D42">
        <v>5.4</v>
      </c>
    </row>
    <row r="43" spans="1:4">
      <c r="A43">
        <v>1997</v>
      </c>
      <c r="B43">
        <v>100.4</v>
      </c>
      <c r="C43">
        <v>107.6</v>
      </c>
      <c r="D43">
        <v>4.9000000000000004</v>
      </c>
    </row>
    <row r="44" spans="1:4">
      <c r="A44">
        <v>1998</v>
      </c>
      <c r="B44">
        <v>104.3</v>
      </c>
      <c r="C44">
        <v>110.5</v>
      </c>
      <c r="D44">
        <v>4.5</v>
      </c>
    </row>
    <row r="45" spans="1:4">
      <c r="A45">
        <v>1999</v>
      </c>
      <c r="B45">
        <v>107.3</v>
      </c>
      <c r="C45">
        <v>114</v>
      </c>
      <c r="D45">
        <v>4.2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5FA8-903E-414F-96C5-ABB8311D2AA3}">
  <dimension ref="A1:C58"/>
  <sheetViews>
    <sheetView workbookViewId="0">
      <selection sqref="A1:C58"/>
    </sheetView>
  </sheetViews>
  <sheetFormatPr defaultRowHeight="15"/>
  <sheetData>
    <row r="1" spans="1:3">
      <c r="A1" s="25" t="s">
        <v>113</v>
      </c>
      <c r="B1" s="25"/>
      <c r="C1" s="25"/>
    </row>
    <row r="3" spans="1:3">
      <c r="A3" s="25" t="s">
        <v>114</v>
      </c>
      <c r="B3" s="25" t="s">
        <v>115</v>
      </c>
      <c r="C3" s="25" t="s">
        <v>116</v>
      </c>
    </row>
    <row r="4" spans="1:3">
      <c r="A4" s="25">
        <v>1</v>
      </c>
      <c r="B4" s="25">
        <v>217</v>
      </c>
      <c r="C4" s="25">
        <v>382</v>
      </c>
    </row>
    <row r="5" spans="1:3">
      <c r="A5" s="25">
        <v>2</v>
      </c>
      <c r="B5" s="25">
        <v>196</v>
      </c>
      <c r="C5" s="25">
        <v>388</v>
      </c>
    </row>
    <row r="6" spans="1:3">
      <c r="A6" s="25">
        <v>3</v>
      </c>
      <c r="B6" s="25">
        <v>303</v>
      </c>
      <c r="C6" s="25">
        <v>391</v>
      </c>
    </row>
    <row r="7" spans="1:3">
      <c r="A7" s="25">
        <v>4</v>
      </c>
      <c r="B7" s="25">
        <v>270</v>
      </c>
      <c r="C7" s="25">
        <v>415</v>
      </c>
    </row>
    <row r="8" spans="1:3">
      <c r="A8" s="25">
        <v>5</v>
      </c>
      <c r="B8" s="25">
        <v>325</v>
      </c>
      <c r="C8" s="25">
        <v>456</v>
      </c>
    </row>
    <row r="9" spans="1:3">
      <c r="A9" s="25">
        <v>6</v>
      </c>
      <c r="B9" s="25">
        <v>260</v>
      </c>
      <c r="C9" s="25">
        <v>460</v>
      </c>
    </row>
    <row r="10" spans="1:3">
      <c r="A10" s="25">
        <v>7</v>
      </c>
      <c r="B10" s="25">
        <v>300</v>
      </c>
      <c r="C10" s="25">
        <v>472</v>
      </c>
    </row>
    <row r="11" spans="1:3">
      <c r="A11" s="25">
        <v>8</v>
      </c>
      <c r="B11" s="25">
        <v>325</v>
      </c>
      <c r="C11" s="25">
        <v>478</v>
      </c>
    </row>
    <row r="12" spans="1:3">
      <c r="A12" s="25">
        <v>9</v>
      </c>
      <c r="B12" s="25">
        <v>336</v>
      </c>
      <c r="C12" s="25">
        <v>494</v>
      </c>
    </row>
    <row r="13" spans="1:3">
      <c r="A13" s="25">
        <v>10</v>
      </c>
      <c r="B13" s="25">
        <v>345</v>
      </c>
      <c r="C13" s="25">
        <v>516</v>
      </c>
    </row>
    <row r="14" spans="1:3">
      <c r="A14" s="25">
        <v>11</v>
      </c>
      <c r="B14" s="25">
        <v>325</v>
      </c>
      <c r="C14" s="25">
        <v>525</v>
      </c>
    </row>
    <row r="15" spans="1:3">
      <c r="A15" s="25">
        <v>12</v>
      </c>
      <c r="B15" s="25">
        <v>362</v>
      </c>
      <c r="C15" s="25">
        <v>554</v>
      </c>
    </row>
    <row r="16" spans="1:3">
      <c r="A16" s="25">
        <v>13</v>
      </c>
      <c r="B16" s="25">
        <v>315</v>
      </c>
      <c r="C16" s="25">
        <v>575</v>
      </c>
    </row>
    <row r="17" spans="1:3">
      <c r="A17" s="25">
        <v>14</v>
      </c>
      <c r="B17" s="25">
        <v>355</v>
      </c>
      <c r="C17" s="25">
        <v>579</v>
      </c>
    </row>
    <row r="18" spans="1:3">
      <c r="A18" s="25">
        <v>15</v>
      </c>
      <c r="B18" s="25">
        <v>325</v>
      </c>
      <c r="C18" s="25">
        <v>585</v>
      </c>
    </row>
    <row r="19" spans="1:3">
      <c r="A19" s="25">
        <v>16</v>
      </c>
      <c r="B19" s="25">
        <v>370</v>
      </c>
      <c r="C19" s="25">
        <v>586</v>
      </c>
    </row>
    <row r="20" spans="1:3">
      <c r="A20" s="25">
        <v>17</v>
      </c>
      <c r="B20" s="25">
        <v>390</v>
      </c>
      <c r="C20" s="25">
        <v>590</v>
      </c>
    </row>
    <row r="21" spans="1:3">
      <c r="A21" s="25">
        <v>18</v>
      </c>
      <c r="B21" s="25">
        <v>420</v>
      </c>
      <c r="C21" s="25">
        <v>608</v>
      </c>
    </row>
    <row r="22" spans="1:3">
      <c r="A22" s="25">
        <v>19</v>
      </c>
      <c r="B22" s="25">
        <v>410</v>
      </c>
      <c r="C22" s="25">
        <v>610</v>
      </c>
    </row>
    <row r="23" spans="1:3">
      <c r="A23" s="25">
        <v>20</v>
      </c>
      <c r="B23" s="25">
        <v>383</v>
      </c>
      <c r="C23" s="25">
        <v>616</v>
      </c>
    </row>
    <row r="24" spans="1:3">
      <c r="A24" s="25">
        <v>21</v>
      </c>
      <c r="B24" s="25">
        <v>315</v>
      </c>
      <c r="C24" s="25">
        <v>618</v>
      </c>
    </row>
    <row r="25" spans="1:3">
      <c r="A25" s="25">
        <v>22</v>
      </c>
      <c r="B25" s="25">
        <v>267</v>
      </c>
      <c r="C25" s="25">
        <v>623</v>
      </c>
    </row>
    <row r="26" spans="1:3">
      <c r="A26" s="25">
        <v>23</v>
      </c>
      <c r="B26" s="25">
        <v>420</v>
      </c>
      <c r="C26" s="25">
        <v>627</v>
      </c>
    </row>
    <row r="27" spans="1:3">
      <c r="A27" s="25">
        <v>24</v>
      </c>
      <c r="B27" s="25">
        <v>300</v>
      </c>
      <c r="C27" s="25">
        <v>630</v>
      </c>
    </row>
    <row r="28" spans="1:3">
      <c r="A28" s="25">
        <v>25</v>
      </c>
      <c r="B28" s="25">
        <v>410</v>
      </c>
      <c r="C28" s="25">
        <v>635</v>
      </c>
    </row>
    <row r="29" spans="1:3">
      <c r="A29" s="25">
        <v>26</v>
      </c>
      <c r="B29" s="25">
        <v>220</v>
      </c>
      <c r="C29" s="25">
        <v>640</v>
      </c>
    </row>
    <row r="30" spans="1:3">
      <c r="A30" s="25">
        <v>27</v>
      </c>
      <c r="B30" s="25">
        <v>403</v>
      </c>
      <c r="C30" s="25">
        <v>648</v>
      </c>
    </row>
    <row r="31" spans="1:3">
      <c r="A31" s="25">
        <v>28</v>
      </c>
      <c r="B31" s="25">
        <v>350</v>
      </c>
      <c r="C31" s="25">
        <v>650</v>
      </c>
    </row>
    <row r="32" spans="1:3">
      <c r="A32" s="25">
        <v>29</v>
      </c>
      <c r="B32" s="25">
        <v>390</v>
      </c>
      <c r="C32" s="25">
        <v>655</v>
      </c>
    </row>
    <row r="33" spans="1:3">
      <c r="A33" s="25">
        <v>30</v>
      </c>
      <c r="B33" s="25">
        <v>385</v>
      </c>
      <c r="C33" s="25">
        <v>662</v>
      </c>
    </row>
    <row r="34" spans="1:3">
      <c r="A34" s="25">
        <v>31</v>
      </c>
      <c r="B34" s="25">
        <v>470</v>
      </c>
      <c r="C34" s="25">
        <v>663</v>
      </c>
    </row>
    <row r="35" spans="1:3">
      <c r="A35" s="25">
        <v>32</v>
      </c>
      <c r="B35" s="25">
        <v>322</v>
      </c>
      <c r="C35" s="25">
        <v>677</v>
      </c>
    </row>
    <row r="36" spans="1:3">
      <c r="A36" s="25">
        <v>33</v>
      </c>
      <c r="B36" s="25">
        <v>540</v>
      </c>
      <c r="C36" s="25">
        <v>680</v>
      </c>
    </row>
    <row r="37" spans="1:3">
      <c r="A37" s="25">
        <v>34</v>
      </c>
      <c r="B37" s="25">
        <v>433</v>
      </c>
      <c r="C37" s="25">
        <v>690</v>
      </c>
    </row>
    <row r="38" spans="1:3">
      <c r="A38" s="25">
        <v>35</v>
      </c>
      <c r="B38" s="25">
        <v>295</v>
      </c>
      <c r="C38" s="25">
        <v>695</v>
      </c>
    </row>
    <row r="39" spans="1:3">
      <c r="A39" s="25">
        <v>36</v>
      </c>
      <c r="B39" s="25">
        <v>340</v>
      </c>
      <c r="C39" s="25">
        <v>695</v>
      </c>
    </row>
    <row r="40" spans="1:3">
      <c r="A40" s="25">
        <v>37</v>
      </c>
      <c r="B40" s="25">
        <v>500</v>
      </c>
      <c r="C40" s="25">
        <v>695</v>
      </c>
    </row>
    <row r="41" spans="1:3">
      <c r="A41" s="25">
        <v>38</v>
      </c>
      <c r="B41" s="25">
        <v>450</v>
      </c>
      <c r="C41" s="25">
        <v>720</v>
      </c>
    </row>
    <row r="42" spans="1:3">
      <c r="A42" s="25">
        <v>39</v>
      </c>
      <c r="B42" s="25">
        <v>415</v>
      </c>
      <c r="C42" s="25">
        <v>721</v>
      </c>
    </row>
    <row r="43" spans="1:3">
      <c r="A43" s="25">
        <v>40</v>
      </c>
      <c r="B43" s="25">
        <v>540</v>
      </c>
      <c r="C43" s="25">
        <v>730</v>
      </c>
    </row>
    <row r="44" spans="1:3">
      <c r="A44" s="25">
        <v>41</v>
      </c>
      <c r="B44" s="25">
        <v>360</v>
      </c>
      <c r="C44" s="25">
        <v>731</v>
      </c>
    </row>
    <row r="45" spans="1:3">
      <c r="A45" s="25">
        <v>42</v>
      </c>
      <c r="B45" s="25">
        <v>450</v>
      </c>
      <c r="C45" s="25">
        <v>733</v>
      </c>
    </row>
    <row r="46" spans="1:3">
      <c r="A46" s="25">
        <v>43</v>
      </c>
      <c r="B46" s="25">
        <v>395</v>
      </c>
      <c r="C46" s="25">
        <v>745</v>
      </c>
    </row>
    <row r="47" spans="1:3">
      <c r="A47" s="25">
        <v>44</v>
      </c>
      <c r="B47" s="25">
        <v>430</v>
      </c>
      <c r="C47" s="25">
        <v>751</v>
      </c>
    </row>
    <row r="48" spans="1:3">
      <c r="A48" s="25">
        <v>45</v>
      </c>
      <c r="B48" s="25">
        <v>332</v>
      </c>
      <c r="C48" s="25">
        <v>752</v>
      </c>
    </row>
    <row r="49" spans="1:3">
      <c r="A49" s="25">
        <v>46</v>
      </c>
      <c r="B49" s="25">
        <v>397</v>
      </c>
      <c r="C49" s="25">
        <v>752</v>
      </c>
    </row>
    <row r="50" spans="1:3">
      <c r="A50" s="25">
        <v>47</v>
      </c>
      <c r="B50" s="25">
        <v>446</v>
      </c>
      <c r="C50" s="25">
        <v>769</v>
      </c>
    </row>
    <row r="51" spans="1:3">
      <c r="A51" s="25">
        <v>48</v>
      </c>
      <c r="B51" s="25">
        <v>480</v>
      </c>
      <c r="C51" s="25">
        <v>773</v>
      </c>
    </row>
    <row r="52" spans="1:3">
      <c r="A52" s="25">
        <v>49</v>
      </c>
      <c r="B52" s="25">
        <v>352</v>
      </c>
      <c r="C52" s="25">
        <v>773</v>
      </c>
    </row>
    <row r="53" spans="1:3">
      <c r="A53" s="25">
        <v>50</v>
      </c>
      <c r="B53" s="25">
        <v>410</v>
      </c>
      <c r="C53" s="25">
        <v>775</v>
      </c>
    </row>
    <row r="54" spans="1:3">
      <c r="A54" s="25">
        <v>51</v>
      </c>
      <c r="B54" s="25">
        <v>380</v>
      </c>
      <c r="C54" s="25">
        <v>785</v>
      </c>
    </row>
    <row r="55" spans="1:3">
      <c r="A55" s="25">
        <v>52</v>
      </c>
      <c r="B55" s="25">
        <v>610</v>
      </c>
      <c r="C55" s="25">
        <v>788</v>
      </c>
    </row>
    <row r="56" spans="1:3">
      <c r="A56" s="25">
        <v>53</v>
      </c>
      <c r="B56" s="25">
        <v>530</v>
      </c>
      <c r="C56" s="25">
        <v>790</v>
      </c>
    </row>
    <row r="57" spans="1:3">
      <c r="A57" s="25">
        <v>54</v>
      </c>
      <c r="B57" s="25">
        <v>360</v>
      </c>
      <c r="C57" s="25">
        <v>795</v>
      </c>
    </row>
    <row r="58" spans="1:3">
      <c r="A58" s="25">
        <v>55</v>
      </c>
      <c r="B58" s="25">
        <v>305</v>
      </c>
      <c r="C58" s="25">
        <v>801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C03E-DBCA-4AA0-88ED-0F7DB0664BAC}">
  <dimension ref="A1:F44"/>
  <sheetViews>
    <sheetView topLeftCell="A23" workbookViewId="0">
      <selection sqref="A1:F44"/>
    </sheetView>
  </sheetViews>
  <sheetFormatPr defaultRowHeight="15"/>
  <sheetData>
    <row r="1" spans="1:6">
      <c r="A1" t="s">
        <v>1142</v>
      </c>
    </row>
    <row r="3" spans="1:6">
      <c r="A3" t="s">
        <v>63</v>
      </c>
      <c r="B3" t="s">
        <v>1143</v>
      </c>
      <c r="C3" t="s">
        <v>1144</v>
      </c>
      <c r="D3" t="s">
        <v>1145</v>
      </c>
      <c r="E3" t="s">
        <v>217</v>
      </c>
      <c r="F3" t="s">
        <v>1146</v>
      </c>
    </row>
    <row r="4" spans="1:6">
      <c r="A4">
        <v>1960</v>
      </c>
      <c r="B4">
        <v>107808</v>
      </c>
      <c r="C4">
        <v>117179</v>
      </c>
      <c r="D4">
        <v>29121</v>
      </c>
      <c r="E4">
        <v>145458</v>
      </c>
      <c r="F4">
        <v>8</v>
      </c>
    </row>
    <row r="5" spans="1:6">
      <c r="A5">
        <v>1961</v>
      </c>
      <c r="B5">
        <v>115147</v>
      </c>
      <c r="C5">
        <v>127599</v>
      </c>
      <c r="D5">
        <v>31476</v>
      </c>
      <c r="E5">
        <v>161802</v>
      </c>
      <c r="F5">
        <v>8</v>
      </c>
    </row>
    <row r="6" spans="1:6">
      <c r="A6">
        <v>1962</v>
      </c>
      <c r="B6">
        <v>120050</v>
      </c>
      <c r="C6">
        <v>135007</v>
      </c>
      <c r="D6">
        <v>34128</v>
      </c>
      <c r="E6">
        <v>164674</v>
      </c>
      <c r="F6">
        <v>8</v>
      </c>
    </row>
    <row r="7" spans="1:6">
      <c r="A7">
        <v>1963</v>
      </c>
      <c r="B7">
        <v>126115</v>
      </c>
      <c r="C7">
        <v>142128</v>
      </c>
      <c r="D7">
        <v>35996</v>
      </c>
      <c r="E7">
        <v>181534</v>
      </c>
      <c r="F7">
        <v>8.25</v>
      </c>
    </row>
    <row r="8" spans="1:6">
      <c r="A8">
        <v>1964</v>
      </c>
      <c r="B8">
        <v>137192</v>
      </c>
      <c r="C8">
        <v>159649</v>
      </c>
      <c r="D8">
        <v>43445</v>
      </c>
      <c r="E8">
        <v>196586</v>
      </c>
      <c r="F8">
        <v>9</v>
      </c>
    </row>
    <row r="9" spans="1:6">
      <c r="A9">
        <v>1965</v>
      </c>
      <c r="B9">
        <v>147707</v>
      </c>
      <c r="C9">
        <v>172756</v>
      </c>
      <c r="D9">
        <v>49003</v>
      </c>
      <c r="E9">
        <v>214922</v>
      </c>
      <c r="F9">
        <v>9</v>
      </c>
    </row>
    <row r="10" spans="1:6">
      <c r="A10">
        <v>1966</v>
      </c>
      <c r="B10">
        <v>157687</v>
      </c>
      <c r="C10">
        <v>182366</v>
      </c>
      <c r="D10">
        <v>50567</v>
      </c>
      <c r="E10">
        <v>228040</v>
      </c>
      <c r="F10">
        <v>9</v>
      </c>
    </row>
    <row r="11" spans="1:6">
      <c r="A11">
        <v>1967</v>
      </c>
      <c r="B11">
        <v>167528</v>
      </c>
      <c r="C11">
        <v>195611</v>
      </c>
      <c r="D11">
        <v>49770</v>
      </c>
      <c r="E11">
        <v>240791</v>
      </c>
      <c r="F11">
        <v>9</v>
      </c>
    </row>
    <row r="12" spans="1:6">
      <c r="A12">
        <v>1968</v>
      </c>
      <c r="B12">
        <v>179025</v>
      </c>
      <c r="C12">
        <v>204470</v>
      </c>
      <c r="D12">
        <v>60397</v>
      </c>
      <c r="E12">
        <v>257226</v>
      </c>
      <c r="F12">
        <v>8.75</v>
      </c>
    </row>
    <row r="13" spans="1:6">
      <c r="A13">
        <v>1969</v>
      </c>
      <c r="B13">
        <v>190089</v>
      </c>
      <c r="C13">
        <v>222638</v>
      </c>
      <c r="D13">
        <v>71653</v>
      </c>
      <c r="E13">
        <v>282168</v>
      </c>
      <c r="F13">
        <v>8</v>
      </c>
    </row>
    <row r="14" spans="1:6">
      <c r="A14">
        <v>1970</v>
      </c>
      <c r="B14">
        <v>206813</v>
      </c>
      <c r="C14">
        <v>246819</v>
      </c>
      <c r="D14">
        <v>70663</v>
      </c>
      <c r="E14">
        <v>304420</v>
      </c>
      <c r="F14">
        <v>8</v>
      </c>
    </row>
    <row r="15" spans="1:6">
      <c r="A15">
        <v>1971</v>
      </c>
      <c r="B15">
        <v>217212</v>
      </c>
      <c r="C15">
        <v>269249</v>
      </c>
      <c r="D15">
        <v>80558</v>
      </c>
      <c r="E15">
        <v>327723</v>
      </c>
      <c r="F15">
        <v>8</v>
      </c>
    </row>
    <row r="16" spans="1:6">
      <c r="A16">
        <v>1972</v>
      </c>
      <c r="B16">
        <v>232312</v>
      </c>
      <c r="C16">
        <v>297266</v>
      </c>
      <c r="D16">
        <v>92977</v>
      </c>
      <c r="E16">
        <v>356886</v>
      </c>
      <c r="F16">
        <v>8</v>
      </c>
    </row>
    <row r="17" spans="1:6">
      <c r="A17">
        <v>1973</v>
      </c>
      <c r="B17">
        <v>250057</v>
      </c>
      <c r="C17">
        <v>335522</v>
      </c>
      <c r="D17">
        <v>100093</v>
      </c>
      <c r="E17">
        <v>383916</v>
      </c>
      <c r="F17">
        <v>9</v>
      </c>
    </row>
    <row r="18" spans="1:6">
      <c r="A18">
        <v>1974</v>
      </c>
      <c r="B18">
        <v>251650</v>
      </c>
      <c r="C18">
        <v>310231</v>
      </c>
      <c r="D18">
        <v>74500</v>
      </c>
      <c r="E18">
        <v>369325</v>
      </c>
      <c r="F18">
        <v>11.83</v>
      </c>
    </row>
    <row r="19" spans="1:6">
      <c r="A19">
        <v>1975</v>
      </c>
      <c r="B19">
        <v>266884</v>
      </c>
      <c r="C19">
        <v>327521</v>
      </c>
      <c r="D19">
        <v>74660</v>
      </c>
      <c r="E19">
        <v>390000</v>
      </c>
      <c r="F19">
        <v>11.88</v>
      </c>
    </row>
    <row r="20" spans="1:6">
      <c r="A20">
        <v>1976</v>
      </c>
      <c r="B20">
        <v>281066</v>
      </c>
      <c r="C20">
        <v>350427</v>
      </c>
      <c r="D20">
        <v>79750</v>
      </c>
      <c r="E20">
        <v>415491</v>
      </c>
      <c r="F20">
        <v>11.5</v>
      </c>
    </row>
    <row r="21" spans="1:6">
      <c r="A21">
        <v>1977</v>
      </c>
      <c r="B21">
        <v>293928</v>
      </c>
      <c r="C21">
        <v>366730</v>
      </c>
      <c r="D21">
        <v>85950</v>
      </c>
      <c r="E21">
        <v>431164</v>
      </c>
      <c r="F21">
        <v>12</v>
      </c>
    </row>
    <row r="22" spans="1:6">
      <c r="A22">
        <v>1978</v>
      </c>
      <c r="B22">
        <v>310640</v>
      </c>
      <c r="C22">
        <v>390189</v>
      </c>
      <c r="D22">
        <v>91100</v>
      </c>
      <c r="E22">
        <v>458675</v>
      </c>
      <c r="F22">
        <v>13.46</v>
      </c>
    </row>
    <row r="23" spans="1:6">
      <c r="A23">
        <v>1979</v>
      </c>
      <c r="B23">
        <v>318817</v>
      </c>
      <c r="C23">
        <v>406857</v>
      </c>
      <c r="D23">
        <v>99121</v>
      </c>
      <c r="E23">
        <v>476048</v>
      </c>
      <c r="F23">
        <v>16.71</v>
      </c>
    </row>
    <row r="24" spans="1:6">
      <c r="A24">
        <v>1980</v>
      </c>
      <c r="B24">
        <v>319341</v>
      </c>
      <c r="C24">
        <v>401942</v>
      </c>
      <c r="D24">
        <v>92705</v>
      </c>
      <c r="E24">
        <v>485108</v>
      </c>
      <c r="F24">
        <v>21.25</v>
      </c>
    </row>
    <row r="25" spans="1:6">
      <c r="A25">
        <v>1981</v>
      </c>
      <c r="B25">
        <v>325851</v>
      </c>
      <c r="C25">
        <v>419669</v>
      </c>
      <c r="D25">
        <v>85750</v>
      </c>
      <c r="E25">
        <v>484259</v>
      </c>
      <c r="F25">
        <v>21.33</v>
      </c>
    </row>
    <row r="26" spans="1:6">
      <c r="A26">
        <v>1982</v>
      </c>
      <c r="B26">
        <v>338507</v>
      </c>
      <c r="C26">
        <v>421716</v>
      </c>
      <c r="D26">
        <v>84100</v>
      </c>
      <c r="E26">
        <v>483879</v>
      </c>
      <c r="F26">
        <v>20.5</v>
      </c>
    </row>
    <row r="27" spans="1:6">
      <c r="A27">
        <v>1983</v>
      </c>
      <c r="B27">
        <v>339425</v>
      </c>
      <c r="C27">
        <v>417930</v>
      </c>
      <c r="D27">
        <v>83000</v>
      </c>
      <c r="E27">
        <v>481198</v>
      </c>
      <c r="F27">
        <v>20.5</v>
      </c>
    </row>
    <row r="28" spans="1:6">
      <c r="A28">
        <v>1984</v>
      </c>
      <c r="B28">
        <v>345194</v>
      </c>
      <c r="C28">
        <v>434696</v>
      </c>
      <c r="D28">
        <v>78300</v>
      </c>
      <c r="E28">
        <v>490881</v>
      </c>
      <c r="F28">
        <v>20.5</v>
      </c>
    </row>
    <row r="29" spans="1:6">
      <c r="A29">
        <v>1985</v>
      </c>
      <c r="B29">
        <v>358671</v>
      </c>
      <c r="C29">
        <v>456576</v>
      </c>
      <c r="D29">
        <v>82360</v>
      </c>
      <c r="E29">
        <v>502258</v>
      </c>
      <c r="F29">
        <v>20.5</v>
      </c>
    </row>
    <row r="30" spans="1:6">
      <c r="A30">
        <v>1986</v>
      </c>
      <c r="B30">
        <v>361026</v>
      </c>
      <c r="C30">
        <v>439654</v>
      </c>
      <c r="D30">
        <v>77234</v>
      </c>
      <c r="E30">
        <v>507199</v>
      </c>
      <c r="F30">
        <v>20.5</v>
      </c>
    </row>
    <row r="31" spans="1:6">
      <c r="A31">
        <v>1987</v>
      </c>
      <c r="B31">
        <v>365473</v>
      </c>
      <c r="C31">
        <v>438454</v>
      </c>
      <c r="D31">
        <v>73315</v>
      </c>
      <c r="E31">
        <v>505713</v>
      </c>
      <c r="F31">
        <v>21.82</v>
      </c>
    </row>
    <row r="32" spans="1:6">
      <c r="A32">
        <v>1988</v>
      </c>
      <c r="B32">
        <v>378488</v>
      </c>
      <c r="C32">
        <v>476345</v>
      </c>
      <c r="D32">
        <v>79831</v>
      </c>
      <c r="E32">
        <v>529460</v>
      </c>
      <c r="F32">
        <v>22.89</v>
      </c>
    </row>
    <row r="33" spans="1:6">
      <c r="A33">
        <v>1989</v>
      </c>
      <c r="B33">
        <v>394942</v>
      </c>
      <c r="C33">
        <v>492334</v>
      </c>
      <c r="D33">
        <v>87873</v>
      </c>
      <c r="E33">
        <v>546572</v>
      </c>
      <c r="F33">
        <v>23.26</v>
      </c>
    </row>
    <row r="34" spans="1:6">
      <c r="A34">
        <v>1990</v>
      </c>
      <c r="B34">
        <v>403194</v>
      </c>
      <c r="C34">
        <v>495939</v>
      </c>
      <c r="D34">
        <v>96139</v>
      </c>
      <c r="E34">
        <v>546982</v>
      </c>
      <c r="F34">
        <v>27.62</v>
      </c>
    </row>
    <row r="35" spans="1:6">
      <c r="A35">
        <v>1991</v>
      </c>
      <c r="B35">
        <v>412458</v>
      </c>
      <c r="C35">
        <v>513173</v>
      </c>
      <c r="D35">
        <v>91726</v>
      </c>
      <c r="E35">
        <v>566586</v>
      </c>
      <c r="F35">
        <v>29.45</v>
      </c>
    </row>
    <row r="36" spans="1:6">
      <c r="A36">
        <v>1992</v>
      </c>
      <c r="B36">
        <v>420028</v>
      </c>
      <c r="C36">
        <v>502520</v>
      </c>
      <c r="D36">
        <v>93140</v>
      </c>
      <c r="E36">
        <v>568582</v>
      </c>
      <c r="F36">
        <v>28.71</v>
      </c>
    </row>
    <row r="37" spans="1:6">
      <c r="A37">
        <v>1993</v>
      </c>
      <c r="B37">
        <v>420585</v>
      </c>
      <c r="C37">
        <v>523066</v>
      </c>
      <c r="D37">
        <v>91292</v>
      </c>
      <c r="E37">
        <v>569724</v>
      </c>
      <c r="F37">
        <v>28.56</v>
      </c>
    </row>
    <row r="38" spans="1:6">
      <c r="A38">
        <v>1994</v>
      </c>
      <c r="B38">
        <v>426893</v>
      </c>
      <c r="C38">
        <v>520728</v>
      </c>
      <c r="D38">
        <v>93073</v>
      </c>
      <c r="E38">
        <v>579846</v>
      </c>
      <c r="F38">
        <v>27.44</v>
      </c>
    </row>
    <row r="39" spans="1:6">
      <c r="A39">
        <v>1995</v>
      </c>
      <c r="B39">
        <v>433723</v>
      </c>
      <c r="C39">
        <v>518407</v>
      </c>
      <c r="D39">
        <v>98470</v>
      </c>
      <c r="E39">
        <v>588691</v>
      </c>
      <c r="F39">
        <v>23.05</v>
      </c>
    </row>
    <row r="41" spans="1:6">
      <c r="A41" t="s">
        <v>1147</v>
      </c>
    </row>
    <row r="42" spans="1:6">
      <c r="B42" t="s">
        <v>1148</v>
      </c>
    </row>
    <row r="43" spans="1:6">
      <c r="A43" t="s">
        <v>1149</v>
      </c>
    </row>
    <row r="44" spans="1:6">
      <c r="B44" t="s">
        <v>1150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7668-246C-4C7F-AB74-9F263F74AEDA}">
  <dimension ref="A1:D41"/>
  <sheetViews>
    <sheetView tabSelected="1" topLeftCell="A21" workbookViewId="0">
      <selection sqref="A1:D41"/>
    </sheetView>
  </sheetViews>
  <sheetFormatPr defaultRowHeight="15"/>
  <sheetData>
    <row r="1" spans="1:4">
      <c r="A1" t="s">
        <v>1151</v>
      </c>
    </row>
    <row r="2" spans="1:4">
      <c r="A2" t="s">
        <v>1152</v>
      </c>
    </row>
    <row r="4" spans="1:4">
      <c r="A4" t="s">
        <v>696</v>
      </c>
      <c r="B4" t="s">
        <v>524</v>
      </c>
      <c r="C4" t="s">
        <v>643</v>
      </c>
      <c r="D4" t="s">
        <v>92</v>
      </c>
    </row>
    <row r="5" spans="1:4">
      <c r="A5">
        <v>1970</v>
      </c>
      <c r="B5" s="85">
        <v>2451.9</v>
      </c>
      <c r="C5">
        <v>427.1</v>
      </c>
      <c r="D5" s="85">
        <v>3771.9</v>
      </c>
    </row>
    <row r="6" spans="1:4">
      <c r="A6">
        <v>1971</v>
      </c>
      <c r="B6" s="85">
        <v>2545.5</v>
      </c>
      <c r="C6">
        <v>475.7</v>
      </c>
      <c r="D6" s="85">
        <v>3898.6</v>
      </c>
    </row>
    <row r="7" spans="1:4">
      <c r="A7">
        <v>1972</v>
      </c>
      <c r="B7" s="85">
        <v>2701.3</v>
      </c>
      <c r="C7">
        <v>532.1</v>
      </c>
      <c r="D7" s="85">
        <v>4105</v>
      </c>
    </row>
    <row r="8" spans="1:4">
      <c r="A8">
        <v>1973</v>
      </c>
      <c r="B8" s="85">
        <v>2833.8</v>
      </c>
      <c r="C8">
        <v>594.4</v>
      </c>
      <c r="D8" s="85">
        <v>4341.5</v>
      </c>
    </row>
    <row r="9" spans="1:4">
      <c r="A9">
        <v>1974</v>
      </c>
      <c r="B9" s="85">
        <v>2812.3</v>
      </c>
      <c r="C9">
        <v>550.6</v>
      </c>
      <c r="D9" s="85">
        <v>4319.6000000000004</v>
      </c>
    </row>
    <row r="10" spans="1:4">
      <c r="A10">
        <v>1975</v>
      </c>
      <c r="B10" s="85">
        <v>2876.9</v>
      </c>
      <c r="C10">
        <v>453.1</v>
      </c>
      <c r="D10" s="85">
        <v>4311.2</v>
      </c>
    </row>
    <row r="11" spans="1:4">
      <c r="A11">
        <v>1976</v>
      </c>
      <c r="B11" s="85">
        <v>3035.5</v>
      </c>
      <c r="C11">
        <v>544.70000000000005</v>
      </c>
      <c r="D11" s="85">
        <v>4540.8999999999996</v>
      </c>
    </row>
    <row r="12" spans="1:4">
      <c r="A12">
        <v>1977</v>
      </c>
      <c r="B12" s="85">
        <v>3164.1</v>
      </c>
      <c r="C12">
        <v>627</v>
      </c>
      <c r="D12" s="85">
        <v>4750.5</v>
      </c>
    </row>
    <row r="13" spans="1:4">
      <c r="A13">
        <v>1978</v>
      </c>
      <c r="B13" s="85">
        <v>3303.1</v>
      </c>
      <c r="C13">
        <v>702.6</v>
      </c>
      <c r="D13" s="85">
        <v>5015</v>
      </c>
    </row>
    <row r="14" spans="1:4">
      <c r="A14">
        <v>1979</v>
      </c>
      <c r="B14" s="85">
        <v>3383.4</v>
      </c>
      <c r="C14">
        <v>725</v>
      </c>
      <c r="D14" s="85">
        <v>5173.3999999999996</v>
      </c>
    </row>
    <row r="15" spans="1:4">
      <c r="A15">
        <v>1980</v>
      </c>
      <c r="B15" s="85">
        <v>3374.1</v>
      </c>
      <c r="C15">
        <v>645.29999999999995</v>
      </c>
      <c r="D15" s="85">
        <v>5161.7</v>
      </c>
    </row>
    <row r="16" spans="1:4">
      <c r="A16">
        <v>1981</v>
      </c>
      <c r="B16" s="85">
        <v>3422.2</v>
      </c>
      <c r="C16">
        <v>704.9</v>
      </c>
      <c r="D16" s="85">
        <v>5291.7</v>
      </c>
    </row>
    <row r="17" spans="1:4">
      <c r="A17">
        <v>1982</v>
      </c>
      <c r="B17" s="85">
        <v>3470.3</v>
      </c>
      <c r="C17">
        <v>606</v>
      </c>
      <c r="D17" s="85">
        <v>5189.3</v>
      </c>
    </row>
    <row r="18" spans="1:4">
      <c r="A18">
        <v>1983</v>
      </c>
      <c r="B18" s="85">
        <v>3668.6</v>
      </c>
      <c r="C18">
        <v>662.5</v>
      </c>
      <c r="D18" s="85">
        <v>5423.8</v>
      </c>
    </row>
    <row r="19" spans="1:4">
      <c r="A19">
        <v>1984</v>
      </c>
      <c r="B19" s="85">
        <v>3863.3</v>
      </c>
      <c r="C19">
        <v>857.7</v>
      </c>
      <c r="D19" s="85">
        <v>5813.6</v>
      </c>
    </row>
    <row r="20" spans="1:4">
      <c r="A20">
        <v>1985</v>
      </c>
      <c r="B20" s="85">
        <v>4064</v>
      </c>
      <c r="C20">
        <v>849.7</v>
      </c>
      <c r="D20" s="85">
        <v>6053.7</v>
      </c>
    </row>
    <row r="21" spans="1:4">
      <c r="A21">
        <v>1986</v>
      </c>
      <c r="B21" s="85">
        <v>4228.8999999999996</v>
      </c>
      <c r="C21">
        <v>843.9</v>
      </c>
      <c r="D21" s="85">
        <v>6263.6</v>
      </c>
    </row>
    <row r="22" spans="1:4">
      <c r="A22">
        <v>1987</v>
      </c>
      <c r="B22" s="85">
        <v>4369.8</v>
      </c>
      <c r="C22">
        <v>870</v>
      </c>
      <c r="D22" s="85">
        <v>6475.1</v>
      </c>
    </row>
    <row r="23" spans="1:4">
      <c r="A23">
        <v>1988</v>
      </c>
      <c r="B23" s="85">
        <v>4546.8999999999996</v>
      </c>
      <c r="C23">
        <v>890.5</v>
      </c>
      <c r="D23" s="85">
        <v>6742.7</v>
      </c>
    </row>
    <row r="24" spans="1:4">
      <c r="A24">
        <v>1989</v>
      </c>
      <c r="B24" s="85">
        <v>4675</v>
      </c>
      <c r="C24">
        <v>926.2</v>
      </c>
      <c r="D24" s="85">
        <v>6981.4</v>
      </c>
    </row>
    <row r="25" spans="1:4">
      <c r="A25">
        <v>1990</v>
      </c>
      <c r="B25" s="85">
        <v>4770.3</v>
      </c>
      <c r="C25">
        <v>895.1</v>
      </c>
      <c r="D25" s="85">
        <v>7112.5</v>
      </c>
    </row>
    <row r="26" spans="1:4">
      <c r="A26">
        <v>1991</v>
      </c>
      <c r="B26" s="85">
        <v>4778.3999999999996</v>
      </c>
      <c r="C26">
        <v>822.2</v>
      </c>
      <c r="D26" s="85">
        <v>7100.5</v>
      </c>
    </row>
    <row r="27" spans="1:4">
      <c r="A27">
        <v>1992</v>
      </c>
      <c r="B27" s="85">
        <v>4934.8</v>
      </c>
      <c r="C27">
        <v>889</v>
      </c>
      <c r="D27" s="85">
        <v>7336.6</v>
      </c>
    </row>
    <row r="28" spans="1:4">
      <c r="A28">
        <v>1993</v>
      </c>
      <c r="B28" s="85">
        <v>5099.8</v>
      </c>
      <c r="C28">
        <v>968.3</v>
      </c>
      <c r="D28" s="85">
        <v>7532.7</v>
      </c>
    </row>
    <row r="29" spans="1:4">
      <c r="A29">
        <v>1994</v>
      </c>
      <c r="B29" s="85">
        <v>5290.7</v>
      </c>
      <c r="C29" s="85">
        <v>1099.5999999999999</v>
      </c>
      <c r="D29" s="85">
        <v>7835.5</v>
      </c>
    </row>
    <row r="30" spans="1:4">
      <c r="A30">
        <v>1995</v>
      </c>
      <c r="B30" s="85">
        <v>5433.5</v>
      </c>
      <c r="C30" s="85">
        <v>1134</v>
      </c>
      <c r="D30" s="85">
        <v>8031.7</v>
      </c>
    </row>
    <row r="31" spans="1:4">
      <c r="A31">
        <v>1996</v>
      </c>
      <c r="B31" s="85">
        <v>5619.4</v>
      </c>
      <c r="C31" s="85">
        <v>1234.3</v>
      </c>
      <c r="D31" s="85">
        <v>8328.9</v>
      </c>
    </row>
    <row r="32" spans="1:4">
      <c r="A32">
        <v>1997</v>
      </c>
      <c r="B32" s="85">
        <v>5831.8</v>
      </c>
      <c r="C32" s="85">
        <v>1387.7</v>
      </c>
      <c r="D32" s="85">
        <v>8703.5</v>
      </c>
    </row>
    <row r="33" spans="1:4">
      <c r="A33">
        <v>1998</v>
      </c>
      <c r="B33" s="85">
        <v>6125.8</v>
      </c>
      <c r="C33" s="85">
        <v>1524.1</v>
      </c>
      <c r="D33" s="85">
        <v>9066.9</v>
      </c>
    </row>
    <row r="34" spans="1:4">
      <c r="A34">
        <v>1999</v>
      </c>
      <c r="B34" s="85">
        <v>6438.6</v>
      </c>
      <c r="C34" s="85">
        <v>1642.6</v>
      </c>
      <c r="D34" s="85">
        <v>9470.2999999999993</v>
      </c>
    </row>
    <row r="35" spans="1:4">
      <c r="A35">
        <v>2000</v>
      </c>
      <c r="B35" s="85">
        <v>6739.4</v>
      </c>
      <c r="C35" s="85">
        <v>1735.5</v>
      </c>
      <c r="D35" s="85">
        <v>9817</v>
      </c>
    </row>
    <row r="36" spans="1:4">
      <c r="A36">
        <v>2001</v>
      </c>
      <c r="B36" s="85">
        <v>6910.4</v>
      </c>
      <c r="C36" s="85">
        <v>1598.4</v>
      </c>
      <c r="D36" s="85">
        <v>9890.7000000000007</v>
      </c>
    </row>
    <row r="37" spans="1:4">
      <c r="A37">
        <v>2002</v>
      </c>
      <c r="B37" s="85">
        <v>7099.3</v>
      </c>
      <c r="C37" s="85">
        <v>1557.1</v>
      </c>
      <c r="D37" s="85">
        <v>10048.799999999999</v>
      </c>
    </row>
    <row r="38" spans="1:4">
      <c r="A38">
        <v>2003</v>
      </c>
      <c r="B38" s="85">
        <v>7295.3</v>
      </c>
      <c r="C38" s="85">
        <v>1613.1</v>
      </c>
      <c r="D38" s="85">
        <v>10301</v>
      </c>
    </row>
    <row r="39" spans="1:4">
      <c r="A39">
        <v>2004</v>
      </c>
      <c r="B39" s="85">
        <v>7561.4</v>
      </c>
      <c r="C39" s="85">
        <v>1770.2</v>
      </c>
      <c r="D39" s="85">
        <v>10675.8</v>
      </c>
    </row>
    <row r="40" spans="1:4">
      <c r="A40">
        <v>2005</v>
      </c>
      <c r="B40" s="85">
        <v>7803.6</v>
      </c>
      <c r="C40" s="85">
        <v>1869.3</v>
      </c>
      <c r="D40" s="85">
        <v>11003.4</v>
      </c>
    </row>
    <row r="41" spans="1:4">
      <c r="A41">
        <v>2006</v>
      </c>
      <c r="B41" s="85">
        <v>8044.1</v>
      </c>
      <c r="C41" s="85">
        <v>1919.5</v>
      </c>
      <c r="D41" s="85">
        <v>11319.4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44C1-538F-4534-A2F9-3137698C81CC}">
  <dimension ref="A1:J299"/>
  <sheetViews>
    <sheetView workbookViewId="0">
      <selection activeCell="A4" sqref="A4"/>
    </sheetView>
  </sheetViews>
  <sheetFormatPr defaultRowHeight="15"/>
  <cols>
    <col min="1" max="1" width="10.140625" bestFit="1" customWidth="1"/>
  </cols>
  <sheetData>
    <row r="1" spans="1:10">
      <c r="A1" t="s">
        <v>1153</v>
      </c>
    </row>
    <row r="3" spans="1:10">
      <c r="A3" t="s">
        <v>1154</v>
      </c>
      <c r="B3" t="s">
        <v>890</v>
      </c>
      <c r="C3" t="s">
        <v>1155</v>
      </c>
      <c r="D3" t="s">
        <v>1156</v>
      </c>
      <c r="E3" t="s">
        <v>1157</v>
      </c>
      <c r="F3" t="s">
        <v>1158</v>
      </c>
      <c r="I3" t="s">
        <v>63</v>
      </c>
      <c r="J3" t="s">
        <v>415</v>
      </c>
    </row>
    <row r="4" spans="1:10">
      <c r="A4" s="89">
        <v>82.417361111111106</v>
      </c>
      <c r="B4">
        <v>1</v>
      </c>
      <c r="C4">
        <v>10.0699997</v>
      </c>
      <c r="D4">
        <v>1755.6999510000001</v>
      </c>
      <c r="E4">
        <v>64.800003000000004</v>
      </c>
      <c r="F4">
        <v>6681</v>
      </c>
    </row>
    <row r="5" spans="1:10">
      <c r="A5" s="89">
        <v>82.418055555555554</v>
      </c>
      <c r="B5">
        <v>2</v>
      </c>
      <c r="C5">
        <v>10.449999800000001</v>
      </c>
      <c r="D5">
        <v>1755.6999510000001</v>
      </c>
      <c r="E5">
        <v>64.699996999999996</v>
      </c>
      <c r="F5">
        <v>6876</v>
      </c>
    </row>
    <row r="6" spans="1:10">
      <c r="A6" s="89">
        <v>82.418750000000003</v>
      </c>
      <c r="B6">
        <v>3</v>
      </c>
      <c r="C6">
        <v>10.953000100000001</v>
      </c>
      <c r="D6">
        <v>1755.6999510000001</v>
      </c>
      <c r="E6">
        <v>64.699996999999996</v>
      </c>
      <c r="F6">
        <v>7255</v>
      </c>
    </row>
    <row r="7" spans="1:10">
      <c r="A7" s="89">
        <v>82.419444444444437</v>
      </c>
      <c r="B7">
        <v>4</v>
      </c>
      <c r="C7">
        <v>11.7860003</v>
      </c>
      <c r="D7">
        <v>1821</v>
      </c>
      <c r="E7">
        <v>64.900002000000001</v>
      </c>
      <c r="F7">
        <v>7202</v>
      </c>
    </row>
    <row r="8" spans="1:10">
      <c r="A8" s="89">
        <v>82.420138888888886</v>
      </c>
      <c r="B8">
        <v>5</v>
      </c>
      <c r="C8">
        <v>11.803999900000001</v>
      </c>
      <c r="D8">
        <v>1821</v>
      </c>
      <c r="E8">
        <v>65.5</v>
      </c>
      <c r="F8">
        <v>7724</v>
      </c>
    </row>
    <row r="9" spans="1:10">
      <c r="A9" s="89">
        <v>82.420833333333334</v>
      </c>
      <c r="B9">
        <v>6</v>
      </c>
      <c r="C9">
        <v>11.810999900000001</v>
      </c>
      <c r="D9">
        <v>1821</v>
      </c>
      <c r="E9">
        <v>66.300003000000004</v>
      </c>
      <c r="F9">
        <v>7913</v>
      </c>
    </row>
    <row r="10" spans="1:10">
      <c r="A10" s="89">
        <v>82.421527777777769</v>
      </c>
      <c r="B10">
        <v>7</v>
      </c>
      <c r="C10">
        <v>11.0670004</v>
      </c>
      <c r="D10">
        <v>1879.400024</v>
      </c>
      <c r="E10">
        <v>67.400002000000001</v>
      </c>
      <c r="F10">
        <v>7576</v>
      </c>
    </row>
    <row r="11" spans="1:10">
      <c r="A11" s="89">
        <v>82.422222222222231</v>
      </c>
      <c r="B11">
        <v>8</v>
      </c>
      <c r="C11">
        <v>11.6540003</v>
      </c>
      <c r="D11">
        <v>1879.400024</v>
      </c>
      <c r="E11">
        <v>68.199996999999996</v>
      </c>
      <c r="F11">
        <v>7872</v>
      </c>
    </row>
    <row r="12" spans="1:10">
      <c r="A12" s="89">
        <v>82.422916666666666</v>
      </c>
      <c r="B12">
        <v>9</v>
      </c>
      <c r="C12">
        <v>10.795000099999999</v>
      </c>
      <c r="D12">
        <v>1879.400024</v>
      </c>
      <c r="E12">
        <v>68.800003000000004</v>
      </c>
      <c r="F12">
        <v>7399</v>
      </c>
    </row>
    <row r="13" spans="1:10">
      <c r="A13" s="89">
        <v>82.423611111111114</v>
      </c>
      <c r="B13">
        <v>10</v>
      </c>
      <c r="C13">
        <v>11.4020004</v>
      </c>
      <c r="D13">
        <v>1937</v>
      </c>
      <c r="E13">
        <v>69</v>
      </c>
      <c r="F13">
        <v>7448</v>
      </c>
    </row>
    <row r="14" spans="1:10">
      <c r="A14" s="89">
        <v>82.424305555555563</v>
      </c>
      <c r="B14">
        <v>11</v>
      </c>
      <c r="C14">
        <v>11.100000400000001</v>
      </c>
      <c r="D14">
        <v>1937</v>
      </c>
      <c r="E14">
        <v>69.5</v>
      </c>
      <c r="F14">
        <v>7503</v>
      </c>
    </row>
    <row r="15" spans="1:10">
      <c r="A15" s="89">
        <v>82.424999999999997</v>
      </c>
      <c r="B15">
        <v>12</v>
      </c>
      <c r="C15">
        <v>11.074999800000001</v>
      </c>
      <c r="D15">
        <v>1937</v>
      </c>
      <c r="E15">
        <v>70.5</v>
      </c>
      <c r="F15">
        <v>7451</v>
      </c>
    </row>
    <row r="16" spans="1:10">
      <c r="A16" s="89">
        <v>82.459027777777777</v>
      </c>
      <c r="B16">
        <v>13</v>
      </c>
      <c r="C16">
        <v>10.963000299999999</v>
      </c>
      <c r="D16">
        <v>1996.8000489999999</v>
      </c>
      <c r="E16">
        <v>71.599997999999999</v>
      </c>
      <c r="F16">
        <v>6830.3549800000001</v>
      </c>
    </row>
    <row r="17" spans="1:6">
      <c r="A17" s="89">
        <v>82.459722222222226</v>
      </c>
      <c r="B17">
        <v>14</v>
      </c>
      <c r="C17">
        <v>11.2700005</v>
      </c>
      <c r="D17">
        <v>1996.8000489999999</v>
      </c>
      <c r="E17">
        <v>73</v>
      </c>
      <c r="F17">
        <v>7254.3569299999999</v>
      </c>
    </row>
    <row r="18" spans="1:6">
      <c r="A18" s="89">
        <v>82.46041666666666</v>
      </c>
      <c r="B18">
        <v>15</v>
      </c>
      <c r="C18">
        <v>11.3710003</v>
      </c>
      <c r="D18">
        <v>1996.8000489999999</v>
      </c>
      <c r="E18">
        <v>75.5</v>
      </c>
      <c r="F18">
        <v>7229</v>
      </c>
    </row>
    <row r="19" spans="1:6">
      <c r="A19" s="89">
        <v>82.461111111111109</v>
      </c>
      <c r="B19">
        <v>16</v>
      </c>
      <c r="C19">
        <v>10.8889999</v>
      </c>
      <c r="D19">
        <v>2041.1999510000001</v>
      </c>
      <c r="E19">
        <v>80.199996999999996</v>
      </c>
      <c r="F19">
        <v>7055.0331999999999</v>
      </c>
    </row>
    <row r="20" spans="1:6">
      <c r="A20" s="89">
        <v>82.461805555555557</v>
      </c>
      <c r="B20">
        <v>17</v>
      </c>
      <c r="C20">
        <v>10.7980003</v>
      </c>
      <c r="D20">
        <v>2041.1999510000001</v>
      </c>
      <c r="E20">
        <v>84.400002000000001</v>
      </c>
      <c r="F20">
        <v>7213.3872099999999</v>
      </c>
    </row>
    <row r="21" spans="1:6">
      <c r="A21" s="89">
        <v>82.462499999999991</v>
      </c>
      <c r="B21">
        <v>18</v>
      </c>
      <c r="C21">
        <v>9.6149997700000007</v>
      </c>
      <c r="D21">
        <v>2041.1999510000001</v>
      </c>
      <c r="E21">
        <v>90.099997999999999</v>
      </c>
      <c r="F21">
        <v>7190.7670900000003</v>
      </c>
    </row>
    <row r="22" spans="1:6">
      <c r="A22" s="89">
        <v>82.46319444444444</v>
      </c>
      <c r="B22">
        <v>19</v>
      </c>
      <c r="C22">
        <v>10.6129999</v>
      </c>
      <c r="D22">
        <v>2108.6000979999999</v>
      </c>
      <c r="E22">
        <v>94.900002000000001</v>
      </c>
      <c r="F22">
        <v>6901.8388699999996</v>
      </c>
    </row>
    <row r="23" spans="1:6">
      <c r="A23" s="89">
        <v>82.463888888888889</v>
      </c>
      <c r="B23">
        <v>20</v>
      </c>
      <c r="C23">
        <v>10.8059998</v>
      </c>
      <c r="D23">
        <v>2108.6000979999999</v>
      </c>
      <c r="E23">
        <v>98.800003000000004</v>
      </c>
      <c r="F23">
        <v>7330.2578100000001</v>
      </c>
    </row>
    <row r="24" spans="1:6">
      <c r="A24" s="89">
        <v>82.464583333333337</v>
      </c>
      <c r="B24">
        <v>21</v>
      </c>
      <c r="C24">
        <v>10.7150002</v>
      </c>
      <c r="D24">
        <v>2108.6000979999999</v>
      </c>
      <c r="E24">
        <v>102</v>
      </c>
      <c r="F24">
        <v>6880.7997999999998</v>
      </c>
    </row>
    <row r="25" spans="1:6">
      <c r="A25" s="89">
        <v>82.465277777777786</v>
      </c>
      <c r="B25">
        <v>22</v>
      </c>
      <c r="C25">
        <v>9.5900001499999998</v>
      </c>
      <c r="D25">
        <v>2179.3999020000001</v>
      </c>
      <c r="E25">
        <v>102.8</v>
      </c>
      <c r="F25">
        <v>7020.4521500000001</v>
      </c>
    </row>
    <row r="26" spans="1:6">
      <c r="A26" s="89">
        <v>82.46597222222222</v>
      </c>
      <c r="B26">
        <v>23</v>
      </c>
      <c r="C26">
        <v>9.7220001200000006</v>
      </c>
      <c r="D26">
        <v>2179.3999020000001</v>
      </c>
      <c r="E26">
        <v>104.1</v>
      </c>
      <c r="F26">
        <v>6790.9331099999999</v>
      </c>
    </row>
    <row r="27" spans="1:6">
      <c r="A27" s="89">
        <v>82.466666666666669</v>
      </c>
      <c r="B27">
        <v>24</v>
      </c>
      <c r="C27">
        <v>10.3540001</v>
      </c>
      <c r="D27">
        <v>2179.3999020000001</v>
      </c>
      <c r="E27">
        <v>106.5</v>
      </c>
      <c r="F27">
        <v>6730.3549800000001</v>
      </c>
    </row>
    <row r="28" spans="1:6">
      <c r="A28" s="89">
        <v>82.500694444444449</v>
      </c>
      <c r="B28">
        <v>25</v>
      </c>
      <c r="C28">
        <v>11.326000199999999</v>
      </c>
      <c r="D28">
        <v>2248.1000979999999</v>
      </c>
      <c r="E28">
        <v>113.1</v>
      </c>
      <c r="F28">
        <v>6323</v>
      </c>
    </row>
    <row r="29" spans="1:6">
      <c r="A29" s="89">
        <v>82.501388888888883</v>
      </c>
      <c r="B29">
        <v>26</v>
      </c>
      <c r="C29">
        <v>10.477000200000001</v>
      </c>
      <c r="D29">
        <v>2248.1000979999999</v>
      </c>
      <c r="E29">
        <v>120.7</v>
      </c>
      <c r="F29">
        <v>6596</v>
      </c>
    </row>
    <row r="30" spans="1:6">
      <c r="A30" s="89">
        <v>82.502083333333331</v>
      </c>
      <c r="B30">
        <v>27</v>
      </c>
      <c r="C30">
        <v>9.5229997599999994</v>
      </c>
      <c r="D30">
        <v>2248.1000979999999</v>
      </c>
      <c r="E30">
        <v>125.2</v>
      </c>
      <c r="F30">
        <v>6406</v>
      </c>
    </row>
    <row r="31" spans="1:6">
      <c r="A31" s="89">
        <v>82.50277777777778</v>
      </c>
      <c r="B31">
        <v>28</v>
      </c>
      <c r="C31">
        <v>8.1059999499999993</v>
      </c>
      <c r="D31">
        <v>2268.8000489999999</v>
      </c>
      <c r="E31">
        <v>126.4</v>
      </c>
      <c r="F31">
        <v>6800</v>
      </c>
    </row>
    <row r="32" spans="1:6">
      <c r="A32" s="89">
        <v>82.503472222222214</v>
      </c>
      <c r="B32">
        <v>29</v>
      </c>
      <c r="C32">
        <v>7.3499999000000003</v>
      </c>
      <c r="D32">
        <v>2268.8000489999999</v>
      </c>
      <c r="E32">
        <v>126.6</v>
      </c>
      <c r="F32">
        <v>6729</v>
      </c>
    </row>
    <row r="33" spans="1:6">
      <c r="A33" s="89">
        <v>82.504166666666663</v>
      </c>
      <c r="B33">
        <v>30</v>
      </c>
      <c r="C33">
        <v>7.9489998799999997</v>
      </c>
      <c r="D33">
        <v>2268.8000489999999</v>
      </c>
      <c r="E33">
        <v>126.9</v>
      </c>
      <c r="F33">
        <v>6657</v>
      </c>
    </row>
    <row r="34" spans="1:6">
      <c r="A34" s="89">
        <v>82.504861111111111</v>
      </c>
      <c r="B34">
        <v>31</v>
      </c>
      <c r="C34">
        <v>8.9469995499999992</v>
      </c>
      <c r="D34">
        <v>2339</v>
      </c>
      <c r="E34">
        <v>127.1</v>
      </c>
      <c r="F34">
        <v>6743</v>
      </c>
    </row>
    <row r="35" spans="1:6">
      <c r="A35" s="89">
        <v>82.50555555555556</v>
      </c>
      <c r="B35">
        <v>32</v>
      </c>
      <c r="C35">
        <v>8.6590004</v>
      </c>
      <c r="D35">
        <v>2339</v>
      </c>
      <c r="E35">
        <v>126.7</v>
      </c>
      <c r="F35">
        <v>6648</v>
      </c>
    </row>
    <row r="36" spans="1:6">
      <c r="A36" s="89">
        <v>82.506250000000009</v>
      </c>
      <c r="B36">
        <v>33</v>
      </c>
      <c r="C36">
        <v>8.7010002100000001</v>
      </c>
      <c r="D36">
        <v>2339</v>
      </c>
      <c r="E36">
        <v>125.7</v>
      </c>
      <c r="F36">
        <v>6510</v>
      </c>
    </row>
    <row r="37" spans="1:6">
      <c r="A37" s="89">
        <v>82.506944444444443</v>
      </c>
      <c r="B37">
        <v>34</v>
      </c>
      <c r="C37">
        <v>9.0889997499999993</v>
      </c>
      <c r="D37">
        <v>2439.8000489999999</v>
      </c>
      <c r="E37">
        <v>125</v>
      </c>
      <c r="F37">
        <v>6662</v>
      </c>
    </row>
    <row r="38" spans="1:6">
      <c r="A38" s="89">
        <v>82.507638888888891</v>
      </c>
      <c r="B38">
        <v>35</v>
      </c>
      <c r="C38">
        <v>8.9069995899999999</v>
      </c>
      <c r="D38">
        <v>2439.8000489999999</v>
      </c>
      <c r="E38">
        <v>125</v>
      </c>
      <c r="F38">
        <v>6234</v>
      </c>
    </row>
    <row r="39" spans="1:6">
      <c r="A39" s="89">
        <v>82.50833333333334</v>
      </c>
      <c r="B39">
        <v>36</v>
      </c>
      <c r="C39">
        <v>8.7480001400000003</v>
      </c>
      <c r="D39">
        <v>2439.8000489999999</v>
      </c>
      <c r="E39">
        <v>125.8</v>
      </c>
      <c r="F39">
        <v>6632</v>
      </c>
    </row>
    <row r="40" spans="1:6">
      <c r="A40" s="89">
        <v>82.542361111111106</v>
      </c>
      <c r="B40">
        <v>37</v>
      </c>
      <c r="C40">
        <v>9.0430002199999997</v>
      </c>
      <c r="D40">
        <v>2510.6000979999999</v>
      </c>
      <c r="E40">
        <v>129.80000000000001</v>
      </c>
      <c r="F40">
        <v>6431</v>
      </c>
    </row>
    <row r="41" spans="1:6">
      <c r="A41" s="89">
        <v>82.543055555555554</v>
      </c>
      <c r="B41">
        <v>38</v>
      </c>
      <c r="C41">
        <v>10.031999600000001</v>
      </c>
      <c r="D41">
        <v>2510.6000979999999</v>
      </c>
      <c r="E41">
        <v>138.19999999999999</v>
      </c>
      <c r="F41">
        <v>6301</v>
      </c>
    </row>
    <row r="42" spans="1:6">
      <c r="A42" s="89">
        <v>82.543750000000003</v>
      </c>
      <c r="B42">
        <v>39</v>
      </c>
      <c r="C42">
        <v>10.201000199999999</v>
      </c>
      <c r="D42">
        <v>2510.6000979999999</v>
      </c>
      <c r="E42">
        <v>141.69999999999999</v>
      </c>
      <c r="F42">
        <v>6303</v>
      </c>
    </row>
    <row r="43" spans="1:6">
      <c r="A43" s="89">
        <v>82.544444444444437</v>
      </c>
      <c r="B43">
        <v>40</v>
      </c>
      <c r="C43">
        <v>8.0900001499999998</v>
      </c>
      <c r="D43">
        <v>2549.5</v>
      </c>
      <c r="E43">
        <v>141.19999999999999</v>
      </c>
      <c r="F43">
        <v>6602</v>
      </c>
    </row>
    <row r="44" spans="1:6">
      <c r="A44" s="89">
        <v>82.545138888888886</v>
      </c>
      <c r="B44">
        <v>41</v>
      </c>
      <c r="C44">
        <v>8.0699996899999995</v>
      </c>
      <c r="D44">
        <v>2549.5</v>
      </c>
      <c r="E44">
        <v>140</v>
      </c>
      <c r="F44">
        <v>6615</v>
      </c>
    </row>
    <row r="45" spans="1:6">
      <c r="A45" s="89">
        <v>82.545833333333334</v>
      </c>
      <c r="B45">
        <v>42</v>
      </c>
      <c r="C45">
        <v>8.0760002100000001</v>
      </c>
      <c r="D45">
        <v>2549.5</v>
      </c>
      <c r="E45">
        <v>139.10001</v>
      </c>
      <c r="F45">
        <v>7028</v>
      </c>
    </row>
    <row r="46" spans="1:6">
      <c r="A46" s="89">
        <v>82.546527777777769</v>
      </c>
      <c r="B46">
        <v>43</v>
      </c>
      <c r="C46">
        <v>8.1940002399999994</v>
      </c>
      <c r="D46">
        <v>2652.3000489999999</v>
      </c>
      <c r="E46">
        <v>138.19999999999999</v>
      </c>
      <c r="F46">
        <v>6823</v>
      </c>
    </row>
    <row r="47" spans="1:6">
      <c r="A47" s="89">
        <v>82.547222222222231</v>
      </c>
      <c r="B47">
        <v>44</v>
      </c>
      <c r="C47">
        <v>10.0579996</v>
      </c>
      <c r="D47">
        <v>2652.3000489999999</v>
      </c>
      <c r="E47">
        <v>137.60001</v>
      </c>
      <c r="F47">
        <v>6637</v>
      </c>
    </row>
    <row r="48" spans="1:6">
      <c r="A48" s="89">
        <v>82.547916666666666</v>
      </c>
      <c r="B48">
        <v>45</v>
      </c>
      <c r="C48">
        <v>8.8540000899999995</v>
      </c>
      <c r="D48">
        <v>2652.3000489999999</v>
      </c>
      <c r="E48">
        <v>137.60001</v>
      </c>
      <c r="F48">
        <v>6662</v>
      </c>
    </row>
    <row r="49" spans="1:6">
      <c r="A49" s="89">
        <v>82.548611111111114</v>
      </c>
      <c r="B49">
        <v>46</v>
      </c>
      <c r="C49">
        <v>7.2810001399999997</v>
      </c>
      <c r="D49">
        <v>2685.1000979999999</v>
      </c>
      <c r="E49">
        <v>137.10001</v>
      </c>
      <c r="F49">
        <v>6578</v>
      </c>
    </row>
    <row r="50" spans="1:6">
      <c r="A50" s="89">
        <v>82.549305555555563</v>
      </c>
      <c r="B50">
        <v>47</v>
      </c>
      <c r="C50">
        <v>7.3449997900000001</v>
      </c>
      <c r="D50">
        <v>2685.1000979999999</v>
      </c>
      <c r="E50">
        <v>136.89999</v>
      </c>
      <c r="F50">
        <v>6373</v>
      </c>
    </row>
    <row r="51" spans="1:6">
      <c r="A51" s="89">
        <v>82.55</v>
      </c>
      <c r="B51">
        <v>48</v>
      </c>
      <c r="C51">
        <v>7.1690001499999996</v>
      </c>
      <c r="D51">
        <v>2685.1000979999999</v>
      </c>
      <c r="E51">
        <v>136.5</v>
      </c>
      <c r="F51">
        <v>6681</v>
      </c>
    </row>
    <row r="52" spans="1:6">
      <c r="A52" s="89">
        <v>82.584027777777777</v>
      </c>
      <c r="B52">
        <v>49</v>
      </c>
      <c r="C52">
        <v>7.7950000800000003</v>
      </c>
      <c r="D52">
        <v>2709.3999020000001</v>
      </c>
      <c r="E52">
        <v>135.80000000000001</v>
      </c>
      <c r="F52">
        <v>5961</v>
      </c>
    </row>
    <row r="53" spans="1:6">
      <c r="A53" s="89">
        <v>82.584722222222226</v>
      </c>
      <c r="B53">
        <v>50</v>
      </c>
      <c r="C53">
        <v>8.3159999800000008</v>
      </c>
      <c r="D53">
        <v>2709.3999020000001</v>
      </c>
      <c r="E53">
        <v>133.39999</v>
      </c>
      <c r="F53">
        <v>6196</v>
      </c>
    </row>
    <row r="54" spans="1:6">
      <c r="A54" s="89">
        <v>82.58541666666666</v>
      </c>
      <c r="B54">
        <v>51</v>
      </c>
      <c r="C54">
        <v>7.8920002</v>
      </c>
      <c r="D54">
        <v>2709.3999020000001</v>
      </c>
      <c r="E54">
        <v>128.39999</v>
      </c>
      <c r="F54">
        <v>6466</v>
      </c>
    </row>
    <row r="55" spans="1:6">
      <c r="A55" s="89">
        <v>82.586111111111109</v>
      </c>
      <c r="B55">
        <v>52</v>
      </c>
      <c r="C55">
        <v>7.3260002100000001</v>
      </c>
      <c r="D55">
        <v>2754</v>
      </c>
      <c r="E55">
        <v>122.5</v>
      </c>
      <c r="F55">
        <v>6897</v>
      </c>
    </row>
    <row r="56" spans="1:6">
      <c r="A56" s="89">
        <v>82.586805555555557</v>
      </c>
      <c r="B56">
        <v>53</v>
      </c>
      <c r="C56">
        <v>8.4099998500000002</v>
      </c>
      <c r="D56">
        <v>2754</v>
      </c>
      <c r="E56">
        <v>123.7</v>
      </c>
      <c r="F56">
        <v>6655</v>
      </c>
    </row>
    <row r="57" spans="1:6">
      <c r="A57" s="89">
        <v>82.587499999999991</v>
      </c>
      <c r="B57">
        <v>54</v>
      </c>
      <c r="C57">
        <v>7.3119997999999997</v>
      </c>
      <c r="D57">
        <v>2754</v>
      </c>
      <c r="E57">
        <v>130.89999</v>
      </c>
      <c r="F57">
        <v>6835</v>
      </c>
    </row>
    <row r="58" spans="1:6">
      <c r="A58" s="89">
        <v>82.58819444444444</v>
      </c>
      <c r="B58">
        <v>55</v>
      </c>
      <c r="C58">
        <v>7.3790001900000002</v>
      </c>
      <c r="D58">
        <v>2786.3999020000001</v>
      </c>
      <c r="E58">
        <v>133.10001</v>
      </c>
      <c r="F58">
        <v>6790</v>
      </c>
    </row>
    <row r="59" spans="1:6">
      <c r="A59" s="89">
        <v>82.588888888888889</v>
      </c>
      <c r="B59">
        <v>56</v>
      </c>
      <c r="C59">
        <v>7.5390000300000004</v>
      </c>
      <c r="D59">
        <v>2786.3999020000001</v>
      </c>
      <c r="E59">
        <v>132.30000000000001</v>
      </c>
      <c r="F59">
        <v>6614</v>
      </c>
    </row>
    <row r="60" spans="1:6">
      <c r="A60" s="89">
        <v>82.589583333333337</v>
      </c>
      <c r="B60">
        <v>57</v>
      </c>
      <c r="C60">
        <v>8.4479999499999998</v>
      </c>
      <c r="D60">
        <v>2786.3999020000001</v>
      </c>
      <c r="E60">
        <v>130.80000000000001</v>
      </c>
      <c r="F60">
        <v>6531</v>
      </c>
    </row>
    <row r="61" spans="1:6">
      <c r="A61" s="89">
        <v>82.590277777777786</v>
      </c>
      <c r="B61">
        <v>58</v>
      </c>
      <c r="C61">
        <v>7.7090001099999999</v>
      </c>
      <c r="D61">
        <v>2823.6999510000001</v>
      </c>
      <c r="E61">
        <v>129.5</v>
      </c>
      <c r="F61">
        <v>6391</v>
      </c>
    </row>
    <row r="62" spans="1:6">
      <c r="A62" s="89">
        <v>82.59097222222222</v>
      </c>
      <c r="B62">
        <v>59</v>
      </c>
      <c r="C62">
        <v>8.9960002899999996</v>
      </c>
      <c r="D62">
        <v>2823.6999510000001</v>
      </c>
      <c r="E62">
        <v>128.30000000000001</v>
      </c>
      <c r="F62">
        <v>6574</v>
      </c>
    </row>
    <row r="63" spans="1:6">
      <c r="A63" s="89">
        <v>82.591666666666669</v>
      </c>
      <c r="B63">
        <v>60</v>
      </c>
      <c r="C63">
        <v>8.6319999700000007</v>
      </c>
      <c r="D63">
        <v>2823.6999510000001</v>
      </c>
      <c r="E63">
        <v>126</v>
      </c>
      <c r="F63">
        <v>6549</v>
      </c>
    </row>
    <row r="64" spans="1:6">
      <c r="A64" s="89">
        <v>82.625694444444449</v>
      </c>
      <c r="B64">
        <v>61</v>
      </c>
      <c r="C64">
        <v>8.2639999399999997</v>
      </c>
      <c r="D64">
        <v>2853.6000979999999</v>
      </c>
      <c r="E64">
        <v>122.8</v>
      </c>
      <c r="F64">
        <v>6051</v>
      </c>
    </row>
    <row r="65" spans="1:6">
      <c r="A65" s="89">
        <v>82.626388888888883</v>
      </c>
      <c r="B65">
        <v>62</v>
      </c>
      <c r="C65">
        <v>8.1759996400000006</v>
      </c>
      <c r="D65">
        <v>2853.6000979999999</v>
      </c>
      <c r="E65">
        <v>118.7</v>
      </c>
      <c r="F65">
        <v>6000</v>
      </c>
    </row>
    <row r="66" spans="1:6">
      <c r="A66" s="89">
        <v>82.627083333333331</v>
      </c>
      <c r="B66">
        <v>63</v>
      </c>
      <c r="C66">
        <v>8.2919998199999991</v>
      </c>
      <c r="D66">
        <v>2853.6000979999999</v>
      </c>
      <c r="E66">
        <v>115.1</v>
      </c>
      <c r="F66">
        <v>6836</v>
      </c>
    </row>
    <row r="67" spans="1:6">
      <c r="A67" s="89">
        <v>82.62777777777778</v>
      </c>
      <c r="B67">
        <v>64</v>
      </c>
      <c r="C67">
        <v>8.7229995700000007</v>
      </c>
      <c r="D67">
        <v>2909.1999510000001</v>
      </c>
      <c r="E67">
        <v>121.5</v>
      </c>
      <c r="F67">
        <v>6452</v>
      </c>
    </row>
    <row r="68" spans="1:6">
      <c r="A68" s="89">
        <v>82.628472222222214</v>
      </c>
      <c r="B68">
        <v>65</v>
      </c>
      <c r="C68">
        <v>9.0620002700000004</v>
      </c>
      <c r="D68">
        <v>2909.1999510000001</v>
      </c>
      <c r="E68">
        <v>125.9</v>
      </c>
      <c r="F68">
        <v>6617</v>
      </c>
    </row>
    <row r="69" spans="1:6">
      <c r="A69" s="89">
        <v>82.629166666666663</v>
      </c>
      <c r="B69">
        <v>66</v>
      </c>
      <c r="C69">
        <v>9.7959995299999996</v>
      </c>
      <c r="D69">
        <v>2909.1999510000001</v>
      </c>
      <c r="E69">
        <v>127.7</v>
      </c>
      <c r="F69">
        <v>6994</v>
      </c>
    </row>
    <row r="70" spans="1:6">
      <c r="A70" s="89">
        <v>82.629861111111111</v>
      </c>
      <c r="B70">
        <v>67</v>
      </c>
      <c r="C70">
        <v>9.6700000799999994</v>
      </c>
      <c r="D70">
        <v>2968.6000979999999</v>
      </c>
      <c r="E70">
        <v>128.80000000000001</v>
      </c>
      <c r="F70">
        <v>6765</v>
      </c>
    </row>
    <row r="71" spans="1:6">
      <c r="A71" s="89">
        <v>82.63055555555556</v>
      </c>
      <c r="B71">
        <v>68</v>
      </c>
      <c r="C71">
        <v>9.0389995600000006</v>
      </c>
      <c r="D71">
        <v>2968.6000979999999</v>
      </c>
      <c r="E71">
        <v>128.5</v>
      </c>
      <c r="F71">
        <v>6936</v>
      </c>
    </row>
    <row r="72" spans="1:6">
      <c r="A72" s="89">
        <v>82.631250000000009</v>
      </c>
      <c r="B72">
        <v>69</v>
      </c>
      <c r="C72">
        <v>9</v>
      </c>
      <c r="D72">
        <v>2968.6000979999999</v>
      </c>
      <c r="E72">
        <v>127.4</v>
      </c>
      <c r="F72">
        <v>6727</v>
      </c>
    </row>
    <row r="73" spans="1:6">
      <c r="A73" s="89">
        <v>82.631944444444443</v>
      </c>
      <c r="B73">
        <v>70</v>
      </c>
      <c r="C73">
        <v>9.9110002500000007</v>
      </c>
      <c r="D73">
        <v>3056.1999510000001</v>
      </c>
      <c r="E73">
        <v>125.5</v>
      </c>
      <c r="F73">
        <v>6588</v>
      </c>
    </row>
    <row r="74" spans="1:6">
      <c r="A74" s="89">
        <v>82.632638888888891</v>
      </c>
      <c r="B74">
        <v>71</v>
      </c>
      <c r="C74">
        <v>9.6090002099999996</v>
      </c>
      <c r="D74">
        <v>3056.1999510000001</v>
      </c>
      <c r="E74">
        <v>124.1</v>
      </c>
      <c r="F74">
        <v>6603</v>
      </c>
    </row>
    <row r="75" spans="1:6">
      <c r="A75" s="89">
        <v>82.63333333333334</v>
      </c>
      <c r="B75">
        <v>72</v>
      </c>
      <c r="C75">
        <v>10.6029997</v>
      </c>
      <c r="D75">
        <v>3056.1999510000001</v>
      </c>
      <c r="E75">
        <v>123.1</v>
      </c>
      <c r="F75">
        <v>6846</v>
      </c>
    </row>
    <row r="76" spans="1:6">
      <c r="A76" s="89">
        <v>82.667361111111106</v>
      </c>
      <c r="B76">
        <v>73</v>
      </c>
      <c r="C76">
        <v>10.4309998</v>
      </c>
      <c r="D76">
        <v>3152</v>
      </c>
      <c r="E76">
        <v>121.6</v>
      </c>
      <c r="F76">
        <v>6265</v>
      </c>
    </row>
    <row r="77" spans="1:6">
      <c r="A77" s="89">
        <v>82.668055555555554</v>
      </c>
      <c r="B77">
        <v>74</v>
      </c>
      <c r="C77">
        <v>10.5690002</v>
      </c>
      <c r="D77">
        <v>3152</v>
      </c>
      <c r="E77">
        <v>120.9</v>
      </c>
      <c r="F77">
        <v>6231</v>
      </c>
    </row>
    <row r="78" spans="1:6">
      <c r="A78" s="89">
        <v>82.668750000000003</v>
      </c>
      <c r="B78">
        <v>75</v>
      </c>
      <c r="C78">
        <v>10.2360001</v>
      </c>
      <c r="D78">
        <v>3152</v>
      </c>
      <c r="E78">
        <v>121</v>
      </c>
      <c r="F78">
        <v>6528</v>
      </c>
    </row>
    <row r="79" spans="1:6">
      <c r="A79" s="89">
        <v>82.669444444444437</v>
      </c>
      <c r="B79">
        <v>76</v>
      </c>
      <c r="C79">
        <v>10.265999799999999</v>
      </c>
      <c r="D79">
        <v>3239.8999020000001</v>
      </c>
      <c r="E79">
        <v>122.7</v>
      </c>
      <c r="F79">
        <v>6676</v>
      </c>
    </row>
    <row r="80" spans="1:6">
      <c r="A80" s="89">
        <v>82.670138888888886</v>
      </c>
      <c r="B80">
        <v>77</v>
      </c>
      <c r="C80">
        <v>10.7019997</v>
      </c>
      <c r="D80">
        <v>3239.8999020000001</v>
      </c>
      <c r="E80">
        <v>123.6</v>
      </c>
      <c r="F80">
        <v>6890</v>
      </c>
    </row>
    <row r="81" spans="1:6">
      <c r="A81" s="89">
        <v>82.670833333333334</v>
      </c>
      <c r="B81">
        <v>78</v>
      </c>
      <c r="C81">
        <v>10.532999999999999</v>
      </c>
      <c r="D81">
        <v>3239.8999020000001</v>
      </c>
      <c r="E81">
        <v>122.9</v>
      </c>
      <c r="F81">
        <v>7107</v>
      </c>
    </row>
    <row r="82" spans="1:6">
      <c r="A82" s="89">
        <v>82.671527777777769</v>
      </c>
      <c r="B82">
        <v>79</v>
      </c>
      <c r="C82">
        <v>10.532999999999999</v>
      </c>
      <c r="D82">
        <v>3327.6000979999999</v>
      </c>
      <c r="E82">
        <v>121.2</v>
      </c>
      <c r="F82">
        <v>6830</v>
      </c>
    </row>
    <row r="83" spans="1:6">
      <c r="A83" s="89">
        <v>82.672222222222231</v>
      </c>
      <c r="B83">
        <v>80</v>
      </c>
      <c r="C83">
        <v>10.2309999</v>
      </c>
      <c r="D83">
        <v>3327.6000979999999</v>
      </c>
      <c r="E83">
        <v>119.6</v>
      </c>
      <c r="F83">
        <v>7093</v>
      </c>
    </row>
    <row r="84" spans="1:6">
      <c r="A84" s="89">
        <v>82.672916666666666</v>
      </c>
      <c r="B84">
        <v>81</v>
      </c>
      <c r="C84">
        <v>10.027999899999999</v>
      </c>
      <c r="D84">
        <v>3327.6000979999999</v>
      </c>
      <c r="E84">
        <v>120.3</v>
      </c>
      <c r="F84">
        <v>6588</v>
      </c>
    </row>
    <row r="85" spans="1:6">
      <c r="A85" s="89">
        <v>82.673611111111114</v>
      </c>
      <c r="B85">
        <v>82</v>
      </c>
      <c r="C85">
        <v>10.189000099999999</v>
      </c>
      <c r="D85">
        <v>3379.6999510000001</v>
      </c>
      <c r="E85">
        <v>120.9</v>
      </c>
      <c r="F85">
        <v>6729</v>
      </c>
    </row>
    <row r="86" spans="1:6">
      <c r="A86" s="89">
        <v>82.674305555555563</v>
      </c>
      <c r="B86">
        <v>83</v>
      </c>
      <c r="C86">
        <v>10.3190002</v>
      </c>
      <c r="D86">
        <v>3379.6999510000001</v>
      </c>
      <c r="E86">
        <v>120.7</v>
      </c>
      <c r="F86">
        <v>6800</v>
      </c>
    </row>
    <row r="87" spans="1:6">
      <c r="A87" s="89">
        <v>82.674999999999997</v>
      </c>
      <c r="B87">
        <v>84</v>
      </c>
      <c r="C87">
        <v>10.6450005</v>
      </c>
      <c r="D87">
        <v>3379.6999510000001</v>
      </c>
      <c r="E87">
        <v>119.3</v>
      </c>
      <c r="F87">
        <v>6555</v>
      </c>
    </row>
    <row r="88" spans="1:6">
      <c r="A88" s="89">
        <v>82.709027777777777</v>
      </c>
      <c r="B88">
        <v>85</v>
      </c>
      <c r="C88">
        <v>10.7580004</v>
      </c>
      <c r="D88">
        <v>3447.1999510000001</v>
      </c>
      <c r="E88">
        <v>114.8</v>
      </c>
      <c r="F88">
        <v>6348</v>
      </c>
    </row>
    <row r="89" spans="1:6">
      <c r="A89" s="89">
        <v>82.709722222222226</v>
      </c>
      <c r="B89">
        <v>86</v>
      </c>
      <c r="C89">
        <v>10.8389997</v>
      </c>
      <c r="D89">
        <v>3447.1999510000001</v>
      </c>
      <c r="E89">
        <v>113.1</v>
      </c>
      <c r="F89">
        <v>6587</v>
      </c>
    </row>
    <row r="90" spans="1:6">
      <c r="A90" s="89">
        <v>82.71041666666666</v>
      </c>
      <c r="B90">
        <v>87</v>
      </c>
      <c r="C90">
        <v>10.7449999</v>
      </c>
      <c r="D90">
        <v>3447.1999510000001</v>
      </c>
      <c r="E90">
        <v>115.9</v>
      </c>
      <c r="F90">
        <v>6664</v>
      </c>
    </row>
    <row r="91" spans="1:6">
      <c r="A91" s="89">
        <v>82.711111111111109</v>
      </c>
      <c r="B91">
        <v>88</v>
      </c>
      <c r="C91">
        <v>10.9420004</v>
      </c>
      <c r="D91">
        <v>3489.3000489999999</v>
      </c>
      <c r="E91">
        <v>120.5</v>
      </c>
      <c r="F91">
        <v>6956</v>
      </c>
    </row>
    <row r="92" spans="1:6">
      <c r="A92" s="89">
        <v>82.711805555555557</v>
      </c>
      <c r="B92">
        <v>89</v>
      </c>
      <c r="C92">
        <v>11.079000499999999</v>
      </c>
      <c r="D92">
        <v>3489.3000489999999</v>
      </c>
      <c r="E92">
        <v>123.1</v>
      </c>
      <c r="F92">
        <v>7060</v>
      </c>
    </row>
    <row r="93" spans="1:6">
      <c r="A93" s="89">
        <v>82.712499999999991</v>
      </c>
      <c r="B93">
        <v>90</v>
      </c>
      <c r="C93">
        <v>10.4280005</v>
      </c>
      <c r="D93">
        <v>3489.3000489999999</v>
      </c>
      <c r="E93">
        <v>124.1</v>
      </c>
      <c r="F93">
        <v>6997</v>
      </c>
    </row>
    <row r="94" spans="1:6">
      <c r="A94" s="89">
        <v>82.71319444444444</v>
      </c>
      <c r="B94">
        <v>91</v>
      </c>
      <c r="C94">
        <v>10.3710003</v>
      </c>
      <c r="D94">
        <v>3528.1000979999999</v>
      </c>
      <c r="E94">
        <v>124.2</v>
      </c>
      <c r="F94">
        <v>7008</v>
      </c>
    </row>
    <row r="95" spans="1:6">
      <c r="A95" s="89">
        <v>82.713888888888889</v>
      </c>
      <c r="B95">
        <v>92</v>
      </c>
      <c r="C95">
        <v>12.2399998</v>
      </c>
      <c r="D95">
        <v>3528.1000979999999</v>
      </c>
      <c r="E95">
        <v>122.9</v>
      </c>
      <c r="F95">
        <v>7242</v>
      </c>
    </row>
    <row r="96" spans="1:6">
      <c r="A96" s="89">
        <v>82.714583333333337</v>
      </c>
      <c r="B96">
        <v>93</v>
      </c>
      <c r="C96">
        <v>14.147999799999999</v>
      </c>
      <c r="D96">
        <v>3528.1000979999999</v>
      </c>
      <c r="E96">
        <v>121.6</v>
      </c>
      <c r="F96">
        <v>6629</v>
      </c>
    </row>
    <row r="97" spans="1:6">
      <c r="A97" s="89">
        <v>82.715277777777786</v>
      </c>
      <c r="B97">
        <v>94</v>
      </c>
      <c r="C97">
        <v>9.4799995399999997</v>
      </c>
      <c r="D97">
        <v>3595.3999020000001</v>
      </c>
      <c r="E97">
        <v>120.4</v>
      </c>
      <c r="F97">
        <v>6897</v>
      </c>
    </row>
    <row r="98" spans="1:6">
      <c r="A98" s="89">
        <v>82.71597222222222</v>
      </c>
      <c r="B98">
        <v>95</v>
      </c>
      <c r="C98">
        <v>9.8280000699999999</v>
      </c>
      <c r="D98">
        <v>3595.3999020000001</v>
      </c>
      <c r="E98">
        <v>120.7</v>
      </c>
      <c r="F98">
        <v>6770</v>
      </c>
    </row>
    <row r="99" spans="1:6">
      <c r="A99" s="89">
        <v>82.716666666666669</v>
      </c>
      <c r="B99">
        <v>96</v>
      </c>
      <c r="C99">
        <v>10.8800001</v>
      </c>
      <c r="D99">
        <v>3595.3999020000001</v>
      </c>
      <c r="E99">
        <v>120.8</v>
      </c>
      <c r="F99">
        <v>6792</v>
      </c>
    </row>
    <row r="100" spans="1:6">
      <c r="A100" s="89">
        <v>82.750694444444449</v>
      </c>
      <c r="B100">
        <v>97</v>
      </c>
      <c r="C100">
        <v>11.463000299999999</v>
      </c>
      <c r="D100">
        <v>3650.8999020000001</v>
      </c>
      <c r="E100">
        <v>119.4</v>
      </c>
      <c r="F100">
        <v>6502</v>
      </c>
    </row>
    <row r="101" spans="1:6">
      <c r="A101" s="89">
        <v>82.751388888888883</v>
      </c>
      <c r="B101">
        <v>98</v>
      </c>
      <c r="C101">
        <v>10.7980003</v>
      </c>
      <c r="D101">
        <v>3650.8999020000001</v>
      </c>
      <c r="E101">
        <v>112</v>
      </c>
      <c r="F101">
        <v>6469</v>
      </c>
    </row>
    <row r="102" spans="1:6">
      <c r="A102" s="89">
        <v>82.752083333333331</v>
      </c>
      <c r="B102">
        <v>99</v>
      </c>
      <c r="C102">
        <v>9.8780002600000003</v>
      </c>
      <c r="D102">
        <v>3650.8999020000001</v>
      </c>
      <c r="E102">
        <v>98.099997999999999</v>
      </c>
      <c r="F102">
        <v>6955</v>
      </c>
    </row>
    <row r="103" spans="1:6">
      <c r="A103" s="89">
        <v>82.75277777777778</v>
      </c>
      <c r="B103">
        <v>100</v>
      </c>
      <c r="C103">
        <v>11.001999899999999</v>
      </c>
      <c r="D103">
        <v>3688.1999510000001</v>
      </c>
      <c r="E103">
        <v>88.800003000000004</v>
      </c>
      <c r="F103">
        <v>7105</v>
      </c>
    </row>
    <row r="104" spans="1:6">
      <c r="A104" s="89">
        <v>82.753472222222214</v>
      </c>
      <c r="B104">
        <v>101</v>
      </c>
      <c r="C104">
        <v>11.323</v>
      </c>
      <c r="D104">
        <v>3688.1999510000001</v>
      </c>
      <c r="E104">
        <v>92.300003000000004</v>
      </c>
      <c r="F104">
        <v>7106</v>
      </c>
    </row>
    <row r="105" spans="1:6">
      <c r="A105" s="89">
        <v>82.754166666666663</v>
      </c>
      <c r="B105">
        <v>102</v>
      </c>
      <c r="C105">
        <v>11.168999700000001</v>
      </c>
      <c r="D105">
        <v>3688.1999510000001</v>
      </c>
      <c r="E105">
        <v>95.5</v>
      </c>
      <c r="F105">
        <v>7209</v>
      </c>
    </row>
    <row r="106" spans="1:6">
      <c r="A106" s="89">
        <v>82.754861111111111</v>
      </c>
      <c r="B106">
        <v>103</v>
      </c>
      <c r="C106">
        <v>10.8339996</v>
      </c>
      <c r="D106">
        <v>3736</v>
      </c>
      <c r="E106">
        <v>89</v>
      </c>
      <c r="F106">
        <v>7436</v>
      </c>
    </row>
    <row r="107" spans="1:6">
      <c r="A107" s="89">
        <v>82.75555555555556</v>
      </c>
      <c r="B107">
        <v>104</v>
      </c>
      <c r="C107">
        <v>12.0410004</v>
      </c>
      <c r="D107">
        <v>3736</v>
      </c>
      <c r="E107">
        <v>84.300003000000004</v>
      </c>
      <c r="F107">
        <v>7435</v>
      </c>
    </row>
    <row r="108" spans="1:6">
      <c r="A108" s="89">
        <v>82.756250000000009</v>
      </c>
      <c r="B108">
        <v>105</v>
      </c>
      <c r="C108">
        <v>15.050999600000001</v>
      </c>
      <c r="D108">
        <v>3736</v>
      </c>
      <c r="E108">
        <v>86</v>
      </c>
      <c r="F108">
        <v>6864</v>
      </c>
    </row>
    <row r="109" spans="1:6">
      <c r="A109" s="89">
        <v>82.756944444444443</v>
      </c>
      <c r="B109">
        <v>106</v>
      </c>
      <c r="C109">
        <v>10.2580004</v>
      </c>
      <c r="D109">
        <v>3774.6999510000001</v>
      </c>
      <c r="E109">
        <v>83.099997999999999</v>
      </c>
      <c r="F109">
        <v>7250</v>
      </c>
    </row>
    <row r="110" spans="1:6">
      <c r="A110" s="89">
        <v>82.757638888888891</v>
      </c>
      <c r="B110">
        <v>107</v>
      </c>
      <c r="C110">
        <v>10.2740002</v>
      </c>
      <c r="D110">
        <v>3774.6999510000001</v>
      </c>
      <c r="E110">
        <v>82.099997999999999</v>
      </c>
      <c r="F110">
        <v>6879</v>
      </c>
    </row>
    <row r="111" spans="1:6">
      <c r="A111" s="89">
        <v>82.75833333333334</v>
      </c>
      <c r="B111">
        <v>108</v>
      </c>
      <c r="C111">
        <v>12.7770004</v>
      </c>
      <c r="D111">
        <v>3774.6999510000001</v>
      </c>
      <c r="E111">
        <v>82.300003000000004</v>
      </c>
      <c r="F111">
        <v>7143</v>
      </c>
    </row>
    <row r="112" spans="1:6">
      <c r="A112" s="89">
        <v>82.792361111111106</v>
      </c>
      <c r="B112">
        <v>109</v>
      </c>
      <c r="C112">
        <v>8.3699998900000008</v>
      </c>
      <c r="D112">
        <v>3852.1999510000001</v>
      </c>
      <c r="E112">
        <v>86.199996999999996</v>
      </c>
      <c r="F112">
        <v>6535</v>
      </c>
    </row>
    <row r="113" spans="1:6">
      <c r="A113" s="89">
        <v>82.793055555555554</v>
      </c>
      <c r="B113">
        <v>110</v>
      </c>
      <c r="C113">
        <v>10.204000499999999</v>
      </c>
      <c r="D113">
        <v>3852.1999510000001</v>
      </c>
      <c r="E113">
        <v>90.5</v>
      </c>
      <c r="F113">
        <v>6796</v>
      </c>
    </row>
    <row r="114" spans="1:6">
      <c r="A114" s="89">
        <v>82.793750000000003</v>
      </c>
      <c r="B114">
        <v>111</v>
      </c>
      <c r="C114">
        <v>10.3389997</v>
      </c>
      <c r="D114">
        <v>3852.1999510000001</v>
      </c>
      <c r="E114">
        <v>91.199996999999996</v>
      </c>
      <c r="F114">
        <v>6964</v>
      </c>
    </row>
    <row r="115" spans="1:6">
      <c r="A115" s="89">
        <v>82.794444444444437</v>
      </c>
      <c r="B115">
        <v>112</v>
      </c>
      <c r="C115">
        <v>10.3649998</v>
      </c>
      <c r="D115">
        <v>3915.3000489999999</v>
      </c>
      <c r="E115">
        <v>93.400002000000001</v>
      </c>
      <c r="F115">
        <v>7314</v>
      </c>
    </row>
    <row r="116" spans="1:6">
      <c r="A116" s="89">
        <v>82.795138888888886</v>
      </c>
      <c r="B116">
        <v>113</v>
      </c>
      <c r="C116">
        <v>9.6630001100000005</v>
      </c>
      <c r="D116">
        <v>3915.3000489999999</v>
      </c>
      <c r="E116">
        <v>94.099997999999999</v>
      </c>
      <c r="F116">
        <v>7460</v>
      </c>
    </row>
    <row r="117" spans="1:6">
      <c r="A117" s="89">
        <v>82.795833333333334</v>
      </c>
      <c r="B117">
        <v>114</v>
      </c>
      <c r="C117">
        <v>10.2700005</v>
      </c>
      <c r="D117">
        <v>3915.3000489999999</v>
      </c>
      <c r="E117">
        <v>95.800003000000004</v>
      </c>
      <c r="F117">
        <v>7539</v>
      </c>
    </row>
    <row r="118" spans="1:6">
      <c r="A118" s="89">
        <v>82.796527777777769</v>
      </c>
      <c r="B118">
        <v>115</v>
      </c>
      <c r="C118">
        <v>10.5200005</v>
      </c>
      <c r="D118">
        <v>3992.3999020000001</v>
      </c>
      <c r="E118">
        <v>97.099997999999999</v>
      </c>
      <c r="F118">
        <v>7581</v>
      </c>
    </row>
    <row r="119" spans="1:6">
      <c r="A119" s="89">
        <v>82.797222222222231</v>
      </c>
      <c r="B119">
        <v>116</v>
      </c>
      <c r="C119">
        <v>11.7620001</v>
      </c>
      <c r="D119">
        <v>3992.3999020000001</v>
      </c>
      <c r="E119">
        <v>99.5</v>
      </c>
      <c r="F119">
        <v>7338</v>
      </c>
    </row>
    <row r="120" spans="1:6">
      <c r="A120" s="89">
        <v>82.797916666666666</v>
      </c>
      <c r="B120">
        <v>117</v>
      </c>
      <c r="C120">
        <v>11.1280003</v>
      </c>
      <c r="D120">
        <v>3992.3999020000001</v>
      </c>
      <c r="E120">
        <v>99</v>
      </c>
      <c r="F120">
        <v>7205</v>
      </c>
    </row>
    <row r="121" spans="1:6">
      <c r="A121" s="89">
        <v>82.798611111111114</v>
      </c>
      <c r="B121">
        <v>118</v>
      </c>
      <c r="C121">
        <v>9.2360000600000003</v>
      </c>
      <c r="D121">
        <v>4090.1000979999999</v>
      </c>
      <c r="E121">
        <v>97.599997999999999</v>
      </c>
      <c r="F121">
        <v>7305</v>
      </c>
    </row>
    <row r="122" spans="1:6">
      <c r="A122" s="89">
        <v>82.799305555555563</v>
      </c>
      <c r="B122">
        <v>119</v>
      </c>
      <c r="C122">
        <v>9.5489997899999999</v>
      </c>
      <c r="D122">
        <v>4090.1000979999999</v>
      </c>
      <c r="E122">
        <v>97.599997999999999</v>
      </c>
      <c r="F122">
        <v>7151</v>
      </c>
    </row>
    <row r="123" spans="1:6">
      <c r="A123" s="89">
        <v>82.8</v>
      </c>
      <c r="B123">
        <v>120</v>
      </c>
      <c r="C123">
        <v>10.6420002</v>
      </c>
      <c r="D123">
        <v>4090.1000979999999</v>
      </c>
      <c r="E123">
        <v>96.099997999999999</v>
      </c>
      <c r="F123">
        <v>7251</v>
      </c>
    </row>
    <row r="124" spans="1:6">
      <c r="A124" s="89">
        <v>82.834027777777777</v>
      </c>
      <c r="B124">
        <v>121</v>
      </c>
      <c r="C124">
        <v>10.9020004</v>
      </c>
      <c r="D124">
        <v>4156.7998049999997</v>
      </c>
      <c r="E124">
        <v>93.300003000000004</v>
      </c>
      <c r="F124">
        <v>6693</v>
      </c>
    </row>
    <row r="125" spans="1:6">
      <c r="A125" s="89">
        <v>82.834722222222226</v>
      </c>
      <c r="B125">
        <v>122</v>
      </c>
      <c r="C125">
        <v>11.1440001</v>
      </c>
      <c r="D125">
        <v>4156.7998049999997</v>
      </c>
      <c r="E125">
        <v>91.300003000000004</v>
      </c>
      <c r="F125">
        <v>7039</v>
      </c>
    </row>
    <row r="126" spans="1:6">
      <c r="A126" s="89">
        <v>82.83541666666666</v>
      </c>
      <c r="B126">
        <v>123</v>
      </c>
      <c r="C126">
        <v>10.824999800000001</v>
      </c>
      <c r="D126">
        <v>4156.7998049999997</v>
      </c>
      <c r="E126">
        <v>90.400002000000001</v>
      </c>
      <c r="F126">
        <v>7323</v>
      </c>
    </row>
    <row r="127" spans="1:6">
      <c r="A127" s="89">
        <v>82.836111111111109</v>
      </c>
      <c r="B127">
        <v>124</v>
      </c>
      <c r="C127">
        <v>10.401</v>
      </c>
      <c r="D127">
        <v>4227.7001950000003</v>
      </c>
      <c r="E127">
        <v>93</v>
      </c>
      <c r="F127">
        <v>7430</v>
      </c>
    </row>
    <row r="128" spans="1:6">
      <c r="A128" s="89">
        <v>82.836805555555557</v>
      </c>
      <c r="B128">
        <v>125</v>
      </c>
      <c r="C128">
        <v>10.548999800000001</v>
      </c>
      <c r="D128">
        <v>4227.7001950000003</v>
      </c>
      <c r="E128">
        <v>95.5</v>
      </c>
      <c r="F128">
        <v>7303</v>
      </c>
    </row>
    <row r="129" spans="1:6">
      <c r="A129" s="89">
        <v>82.837499999999991</v>
      </c>
      <c r="B129">
        <v>126</v>
      </c>
      <c r="C129">
        <v>10.7700005</v>
      </c>
      <c r="D129">
        <v>4227.7001950000003</v>
      </c>
      <c r="E129">
        <v>95.5</v>
      </c>
      <c r="F129">
        <v>7817</v>
      </c>
    </row>
    <row r="130" spans="1:6">
      <c r="A130" s="89">
        <v>82.83819444444444</v>
      </c>
      <c r="B130">
        <v>127</v>
      </c>
      <c r="C130">
        <v>10.362000500000001</v>
      </c>
      <c r="D130">
        <v>4308.7001950000003</v>
      </c>
      <c r="E130">
        <v>96.699996999999996</v>
      </c>
      <c r="F130">
        <v>7482</v>
      </c>
    </row>
    <row r="131" spans="1:6">
      <c r="A131" s="89">
        <v>82.838888888888889</v>
      </c>
      <c r="B131">
        <v>128</v>
      </c>
      <c r="C131">
        <v>10.2889996</v>
      </c>
      <c r="D131">
        <v>4308.7001950000003</v>
      </c>
      <c r="E131">
        <v>98.699996999999996</v>
      </c>
      <c r="F131">
        <v>7556</v>
      </c>
    </row>
    <row r="132" spans="1:6">
      <c r="A132" s="89">
        <v>82.839583333333337</v>
      </c>
      <c r="B132">
        <v>129</v>
      </c>
      <c r="C132">
        <v>9.9600000400000006</v>
      </c>
      <c r="D132">
        <v>4308.7001950000003</v>
      </c>
      <c r="E132">
        <v>97.400002000000001</v>
      </c>
      <c r="F132">
        <v>7404</v>
      </c>
    </row>
    <row r="133" spans="1:6">
      <c r="A133" s="89">
        <v>82.840277777777786</v>
      </c>
      <c r="B133">
        <v>130</v>
      </c>
      <c r="C133">
        <v>9.8879995300000001</v>
      </c>
      <c r="D133">
        <v>4395.1000979999999</v>
      </c>
      <c r="E133">
        <v>95.599997999999999</v>
      </c>
      <c r="F133">
        <v>7271</v>
      </c>
    </row>
    <row r="134" spans="1:6">
      <c r="A134" s="89">
        <v>82.84097222222222</v>
      </c>
      <c r="B134">
        <v>131</v>
      </c>
      <c r="C134">
        <v>10.157999999999999</v>
      </c>
      <c r="D134">
        <v>4395.1000979999999</v>
      </c>
      <c r="E134">
        <v>94.900002000000001</v>
      </c>
      <c r="F134">
        <v>7379</v>
      </c>
    </row>
    <row r="135" spans="1:6">
      <c r="A135" s="89">
        <v>82.841666666666669</v>
      </c>
      <c r="B135">
        <v>132</v>
      </c>
      <c r="C135">
        <v>11.2980003</v>
      </c>
      <c r="D135">
        <v>4395.1000979999999</v>
      </c>
      <c r="E135">
        <v>93</v>
      </c>
      <c r="F135">
        <v>7344</v>
      </c>
    </row>
    <row r="136" spans="1:6">
      <c r="A136" s="89">
        <v>82.875694444444449</v>
      </c>
      <c r="B136">
        <v>133</v>
      </c>
      <c r="C136">
        <v>10.0869999</v>
      </c>
      <c r="D136">
        <v>4517.5</v>
      </c>
      <c r="E136">
        <v>91.800003000000004</v>
      </c>
      <c r="F136">
        <v>6745</v>
      </c>
    </row>
    <row r="137" spans="1:6">
      <c r="A137" s="89">
        <v>82.876388888888883</v>
      </c>
      <c r="B137">
        <v>134</v>
      </c>
      <c r="C137">
        <v>9.8439998600000003</v>
      </c>
      <c r="D137">
        <v>4517.5</v>
      </c>
      <c r="E137">
        <v>92.599997999999999</v>
      </c>
      <c r="F137">
        <v>7119</v>
      </c>
    </row>
    <row r="138" spans="1:6">
      <c r="A138" s="89">
        <v>82.877083333333331</v>
      </c>
      <c r="B138">
        <v>135</v>
      </c>
      <c r="C138">
        <v>9.6940002399999994</v>
      </c>
      <c r="D138">
        <v>4517.5</v>
      </c>
      <c r="E138">
        <v>94</v>
      </c>
      <c r="F138">
        <v>7421</v>
      </c>
    </row>
    <row r="139" spans="1:6">
      <c r="A139" s="89">
        <v>82.87777777777778</v>
      </c>
      <c r="B139">
        <v>136</v>
      </c>
      <c r="C139">
        <v>10.727000200000001</v>
      </c>
      <c r="D139">
        <v>4573.5</v>
      </c>
      <c r="E139">
        <v>106.5</v>
      </c>
      <c r="F139">
        <v>7157</v>
      </c>
    </row>
    <row r="140" spans="1:6">
      <c r="A140" s="89">
        <v>82.878472222222214</v>
      </c>
      <c r="B140">
        <v>137</v>
      </c>
      <c r="C140">
        <v>10.2670002</v>
      </c>
      <c r="D140">
        <v>4573.5</v>
      </c>
      <c r="E140">
        <v>119</v>
      </c>
      <c r="F140">
        <v>7381</v>
      </c>
    </row>
    <row r="141" spans="1:6">
      <c r="A141" s="89">
        <v>82.879166666666663</v>
      </c>
      <c r="B141">
        <v>138</v>
      </c>
      <c r="C141">
        <v>9.5159997900000004</v>
      </c>
      <c r="D141">
        <v>4573.5</v>
      </c>
      <c r="E141">
        <v>114</v>
      </c>
      <c r="F141">
        <v>7780</v>
      </c>
    </row>
    <row r="142" spans="1:6">
      <c r="A142" s="89">
        <v>82.879861111111111</v>
      </c>
      <c r="B142">
        <v>139</v>
      </c>
      <c r="C142">
        <v>9.7340002099999996</v>
      </c>
      <c r="D142">
        <v>4617.3999020000001</v>
      </c>
      <c r="E142">
        <v>109.2</v>
      </c>
      <c r="F142">
        <v>7296</v>
      </c>
    </row>
    <row r="143" spans="1:6">
      <c r="A143" s="89">
        <v>82.88055555555556</v>
      </c>
      <c r="B143">
        <v>140</v>
      </c>
      <c r="C143">
        <v>11.0869999</v>
      </c>
      <c r="D143">
        <v>4617.3999020000001</v>
      </c>
      <c r="E143">
        <v>105.7</v>
      </c>
      <c r="F143">
        <v>7717</v>
      </c>
    </row>
    <row r="144" spans="1:6">
      <c r="A144" s="89">
        <v>82.881250000000009</v>
      </c>
      <c r="B144">
        <v>141</v>
      </c>
      <c r="C144">
        <v>10.345000300000001</v>
      </c>
      <c r="D144">
        <v>4617.3999020000001</v>
      </c>
      <c r="E144">
        <v>102.9</v>
      </c>
      <c r="F144">
        <v>7240</v>
      </c>
    </row>
    <row r="145" spans="1:6">
      <c r="A145" s="89">
        <v>82.881944444444443</v>
      </c>
      <c r="B145">
        <v>142</v>
      </c>
      <c r="C145">
        <v>8.7659997900000004</v>
      </c>
      <c r="D145">
        <v>4690.7001950000003</v>
      </c>
      <c r="E145">
        <v>102.7</v>
      </c>
      <c r="F145">
        <v>7302</v>
      </c>
    </row>
    <row r="146" spans="1:6">
      <c r="A146" s="89">
        <v>82.882638888888891</v>
      </c>
      <c r="B146">
        <v>143</v>
      </c>
      <c r="C146">
        <v>8.5360002500000007</v>
      </c>
      <c r="D146">
        <v>4690.7001950000003</v>
      </c>
      <c r="E146">
        <v>99.900002000000001</v>
      </c>
      <c r="F146">
        <v>7353</v>
      </c>
    </row>
    <row r="147" spans="1:6">
      <c r="A147" s="89">
        <v>82.88333333333334</v>
      </c>
      <c r="B147">
        <v>144</v>
      </c>
      <c r="C147">
        <v>8.7189998600000003</v>
      </c>
      <c r="D147">
        <v>4690.7001950000003</v>
      </c>
      <c r="E147">
        <v>96.099997999999999</v>
      </c>
      <c r="F147">
        <v>7410</v>
      </c>
    </row>
    <row r="148" spans="1:6">
      <c r="A148" s="89">
        <v>82.917361111111106</v>
      </c>
      <c r="B148">
        <v>145</v>
      </c>
      <c r="C148">
        <v>10.420000099999999</v>
      </c>
      <c r="D148">
        <v>4800.7998049999997</v>
      </c>
      <c r="E148">
        <v>104.2</v>
      </c>
      <c r="F148">
        <v>6643</v>
      </c>
    </row>
    <row r="149" spans="1:6">
      <c r="A149" s="89">
        <v>82.918055555555554</v>
      </c>
      <c r="B149">
        <v>146</v>
      </c>
      <c r="C149">
        <v>9.4790000899999995</v>
      </c>
      <c r="D149">
        <v>4800.7998049999997</v>
      </c>
      <c r="E149">
        <v>103.7</v>
      </c>
      <c r="F149">
        <v>7179</v>
      </c>
    </row>
    <row r="150" spans="1:6">
      <c r="A150" s="89">
        <v>82.918750000000003</v>
      </c>
      <c r="B150">
        <v>147</v>
      </c>
      <c r="C150">
        <v>9.5129995300000001</v>
      </c>
      <c r="D150">
        <v>4800.7998049999997</v>
      </c>
      <c r="E150">
        <v>102.3</v>
      </c>
      <c r="F150">
        <v>7338</v>
      </c>
    </row>
    <row r="151" spans="1:6">
      <c r="A151" s="89">
        <v>82.919444444444437</v>
      </c>
      <c r="B151">
        <v>148</v>
      </c>
      <c r="C151">
        <v>9.4049997300000001</v>
      </c>
      <c r="D151">
        <v>4879.2998049999997</v>
      </c>
      <c r="E151">
        <v>104.4</v>
      </c>
      <c r="F151">
        <v>7121</v>
      </c>
    </row>
    <row r="152" spans="1:6">
      <c r="A152" s="89">
        <v>82.920138888888886</v>
      </c>
      <c r="B152">
        <v>149</v>
      </c>
      <c r="C152">
        <v>9.1289997100000004</v>
      </c>
      <c r="D152">
        <v>4879.2998049999997</v>
      </c>
      <c r="E152">
        <v>106.1</v>
      </c>
      <c r="F152">
        <v>7358</v>
      </c>
    </row>
    <row r="153" spans="1:6">
      <c r="A153" s="89">
        <v>82.920833333333334</v>
      </c>
      <c r="B153">
        <v>150</v>
      </c>
      <c r="C153">
        <v>9.2250003800000009</v>
      </c>
      <c r="D153">
        <v>4879.2998049999997</v>
      </c>
      <c r="E153">
        <v>108.8</v>
      </c>
      <c r="F153">
        <v>7519</v>
      </c>
    </row>
    <row r="154" spans="1:6">
      <c r="A154" s="89">
        <v>82.921527777777769</v>
      </c>
      <c r="B154">
        <v>151</v>
      </c>
      <c r="C154">
        <v>9.1429996500000001</v>
      </c>
      <c r="D154">
        <v>4951.3999020000001</v>
      </c>
      <c r="E154">
        <v>108.4</v>
      </c>
      <c r="F154">
        <v>7496</v>
      </c>
    </row>
    <row r="155" spans="1:6">
      <c r="A155" s="89">
        <v>82.922222222222231</v>
      </c>
      <c r="B155">
        <v>152</v>
      </c>
      <c r="C155">
        <v>9.1920003900000005</v>
      </c>
      <c r="D155">
        <v>4951.3999020000001</v>
      </c>
      <c r="E155">
        <v>119</v>
      </c>
      <c r="F155">
        <v>7796</v>
      </c>
    </row>
    <row r="156" spans="1:6">
      <c r="A156" s="89">
        <v>82.922916666666666</v>
      </c>
      <c r="B156">
        <v>153</v>
      </c>
      <c r="C156">
        <v>9.6590004</v>
      </c>
      <c r="D156">
        <v>4951.3999020000001</v>
      </c>
      <c r="E156">
        <v>129.39999</v>
      </c>
      <c r="F156">
        <v>6914</v>
      </c>
    </row>
    <row r="157" spans="1:6">
      <c r="A157" s="89">
        <v>82.923611111111114</v>
      </c>
      <c r="B157">
        <v>154</v>
      </c>
      <c r="C157">
        <v>9.1549997300000001</v>
      </c>
      <c r="D157">
        <v>4981.3999020000001</v>
      </c>
      <c r="E157">
        <v>137.80000000000001</v>
      </c>
      <c r="F157">
        <v>7226</v>
      </c>
    </row>
    <row r="158" spans="1:6">
      <c r="A158" s="89">
        <v>82.924305555555563</v>
      </c>
      <c r="B158">
        <v>155</v>
      </c>
      <c r="C158">
        <v>8.6009998299999992</v>
      </c>
      <c r="D158">
        <v>4981.3999020000001</v>
      </c>
      <c r="E158">
        <v>137.69999999999999</v>
      </c>
      <c r="F158">
        <v>7241</v>
      </c>
    </row>
    <row r="159" spans="1:6">
      <c r="A159" s="89">
        <v>82.924999999999997</v>
      </c>
      <c r="B159">
        <v>156</v>
      </c>
      <c r="C159">
        <v>8.6809997600000006</v>
      </c>
      <c r="D159">
        <v>4981.3999020000001</v>
      </c>
      <c r="E159">
        <v>135.39999</v>
      </c>
      <c r="F159">
        <v>6978</v>
      </c>
    </row>
    <row r="160" spans="1:6">
      <c r="A160" s="89">
        <v>82.959027777777777</v>
      </c>
      <c r="B160">
        <v>157</v>
      </c>
      <c r="C160">
        <v>7.7509999299999999</v>
      </c>
      <c r="D160">
        <v>4999.8999020000001</v>
      </c>
      <c r="E160">
        <v>124.7</v>
      </c>
      <c r="F160">
        <v>6645</v>
      </c>
    </row>
    <row r="161" spans="1:6">
      <c r="A161" s="89">
        <v>82.959722222222226</v>
      </c>
      <c r="B161">
        <v>158</v>
      </c>
      <c r="C161">
        <v>8.1809997600000006</v>
      </c>
      <c r="D161">
        <v>4999.8999020000001</v>
      </c>
      <c r="E161">
        <v>114.3</v>
      </c>
      <c r="F161">
        <v>6838</v>
      </c>
    </row>
    <row r="162" spans="1:6">
      <c r="A162" s="89">
        <v>82.96041666666666</v>
      </c>
      <c r="B162">
        <v>159</v>
      </c>
      <c r="C162">
        <v>8.5550003100000005</v>
      </c>
      <c r="D162">
        <v>4999.8999020000001</v>
      </c>
      <c r="E162">
        <v>108.2</v>
      </c>
      <c r="F162">
        <v>7017</v>
      </c>
    </row>
    <row r="163" spans="1:6">
      <c r="A163" s="89">
        <v>82.961111111111109</v>
      </c>
      <c r="B163">
        <v>160</v>
      </c>
      <c r="C163">
        <v>7.8670001000000003</v>
      </c>
      <c r="D163">
        <v>5064.1000979999999</v>
      </c>
      <c r="E163">
        <v>110.4</v>
      </c>
      <c r="F163">
        <v>7137</v>
      </c>
    </row>
    <row r="164" spans="1:6">
      <c r="A164" s="89">
        <v>82.961805555555557</v>
      </c>
      <c r="B164">
        <v>161</v>
      </c>
      <c r="C164">
        <v>8.1909999800000008</v>
      </c>
      <c r="D164">
        <v>5064.1000979999999</v>
      </c>
      <c r="E164">
        <v>115.6</v>
      </c>
      <c r="F164">
        <v>7437</v>
      </c>
    </row>
    <row r="165" spans="1:6">
      <c r="A165" s="89">
        <v>82.962499999999991</v>
      </c>
      <c r="B165">
        <v>162</v>
      </c>
      <c r="C165">
        <v>8.3210000999999991</v>
      </c>
      <c r="D165">
        <v>5064.1000979999999</v>
      </c>
      <c r="E165">
        <v>116</v>
      </c>
      <c r="F165">
        <v>7456</v>
      </c>
    </row>
    <row r="166" spans="1:6">
      <c r="A166" s="89">
        <v>82.96319444444444</v>
      </c>
      <c r="B166">
        <v>163</v>
      </c>
      <c r="C166">
        <v>8.5530004500000008</v>
      </c>
      <c r="D166">
        <v>5110.1000979999999</v>
      </c>
      <c r="E166">
        <v>112.7</v>
      </c>
      <c r="F166">
        <v>7561</v>
      </c>
    </row>
    <row r="167" spans="1:6">
      <c r="A167" s="89">
        <v>82.963888888888889</v>
      </c>
      <c r="B167">
        <v>164</v>
      </c>
      <c r="C167">
        <v>8.2060003300000002</v>
      </c>
      <c r="D167">
        <v>5110.1000979999999</v>
      </c>
      <c r="E167">
        <v>114</v>
      </c>
      <c r="F167">
        <v>7528</v>
      </c>
    </row>
    <row r="168" spans="1:6">
      <c r="A168" s="89">
        <v>82.964583333333337</v>
      </c>
      <c r="B168">
        <v>165</v>
      </c>
      <c r="C168">
        <v>8.3269996600000002</v>
      </c>
      <c r="D168">
        <v>5110.1000979999999</v>
      </c>
      <c r="E168">
        <v>114.3</v>
      </c>
      <c r="F168">
        <v>7083</v>
      </c>
    </row>
    <row r="169" spans="1:6">
      <c r="A169" s="89">
        <v>82.965277777777786</v>
      </c>
      <c r="B169">
        <v>166</v>
      </c>
      <c r="C169">
        <v>8.0530004500000008</v>
      </c>
      <c r="D169">
        <v>5167.3999020000001</v>
      </c>
      <c r="E169">
        <v>112.2</v>
      </c>
      <c r="F169">
        <v>7281</v>
      </c>
    </row>
    <row r="170" spans="1:6">
      <c r="A170" s="89">
        <v>82.96597222222222</v>
      </c>
      <c r="B170">
        <v>167</v>
      </c>
      <c r="C170">
        <v>8.1949996899999995</v>
      </c>
      <c r="D170">
        <v>5167.3999020000001</v>
      </c>
      <c r="E170">
        <v>113.4</v>
      </c>
      <c r="F170">
        <v>7008</v>
      </c>
    </row>
    <row r="171" spans="1:6">
      <c r="A171" s="89">
        <v>82.966666666666669</v>
      </c>
      <c r="B171">
        <v>168</v>
      </c>
      <c r="C171">
        <v>7.9000000999999997</v>
      </c>
      <c r="D171">
        <v>5167.3999020000001</v>
      </c>
      <c r="E171">
        <v>112.3</v>
      </c>
      <c r="F171">
        <v>7224</v>
      </c>
    </row>
    <row r="172" spans="1:6">
      <c r="A172" s="89">
        <v>83.000694444444449</v>
      </c>
      <c r="B172">
        <v>169</v>
      </c>
      <c r="C172">
        <v>8.1090002099999996</v>
      </c>
      <c r="D172">
        <v>5276.7998049999997</v>
      </c>
      <c r="E172">
        <v>107.3</v>
      </c>
      <c r="F172">
        <v>6869</v>
      </c>
    </row>
    <row r="173" spans="1:6">
      <c r="A173" s="89">
        <v>83.001388888888883</v>
      </c>
      <c r="B173">
        <v>170</v>
      </c>
      <c r="C173">
        <v>8.3739995999999994</v>
      </c>
      <c r="D173">
        <v>5276.7998049999997</v>
      </c>
      <c r="E173">
        <v>105.4</v>
      </c>
      <c r="F173">
        <v>6963</v>
      </c>
    </row>
    <row r="174" spans="1:6">
      <c r="A174" s="89">
        <v>83.002083333333331</v>
      </c>
      <c r="B174">
        <v>171</v>
      </c>
      <c r="C174">
        <v>8.1859998699999998</v>
      </c>
      <c r="D174">
        <v>5276.7998049999997</v>
      </c>
      <c r="E174">
        <v>105.8</v>
      </c>
      <c r="F174">
        <v>7137</v>
      </c>
    </row>
    <row r="175" spans="1:6">
      <c r="A175" s="89">
        <v>83.00277777777778</v>
      </c>
      <c r="B175">
        <v>172</v>
      </c>
      <c r="C175">
        <v>7.8940000499999998</v>
      </c>
      <c r="D175">
        <v>5352.2001950000003</v>
      </c>
      <c r="E175">
        <v>107.9</v>
      </c>
      <c r="F175">
        <v>7238</v>
      </c>
    </row>
    <row r="176" spans="1:6">
      <c r="A176" s="89">
        <v>83.003472222222214</v>
      </c>
      <c r="B176">
        <v>173</v>
      </c>
      <c r="C176">
        <v>8.2419996300000005</v>
      </c>
      <c r="D176">
        <v>5352.2001950000003</v>
      </c>
      <c r="E176">
        <v>113.6</v>
      </c>
      <c r="F176">
        <v>7328</v>
      </c>
    </row>
    <row r="177" spans="1:6">
      <c r="A177" s="89">
        <v>83.004166666666663</v>
      </c>
      <c r="B177">
        <v>174</v>
      </c>
      <c r="C177">
        <v>8.5790004700000004</v>
      </c>
      <c r="D177">
        <v>5352.2001950000003</v>
      </c>
      <c r="E177">
        <v>117.9</v>
      </c>
      <c r="F177">
        <v>7460</v>
      </c>
    </row>
    <row r="178" spans="1:6">
      <c r="A178" s="89">
        <v>83.004861111111111</v>
      </c>
      <c r="B178">
        <v>175</v>
      </c>
      <c r="C178">
        <v>8.1669998199999991</v>
      </c>
      <c r="D178">
        <v>5390.7001950000003</v>
      </c>
      <c r="E178">
        <v>117.5</v>
      </c>
      <c r="F178">
        <v>7639</v>
      </c>
    </row>
    <row r="179" spans="1:6">
      <c r="A179" s="89">
        <v>83.00555555555556</v>
      </c>
      <c r="B179">
        <v>176</v>
      </c>
      <c r="C179">
        <v>7.88100004</v>
      </c>
      <c r="D179">
        <v>5390.7001950000003</v>
      </c>
      <c r="E179">
        <v>115.8</v>
      </c>
      <c r="F179">
        <v>7380</v>
      </c>
    </row>
    <row r="180" spans="1:6">
      <c r="A180" s="89">
        <v>83.006250000000009</v>
      </c>
      <c r="B180">
        <v>177</v>
      </c>
      <c r="C180">
        <v>8.1870002700000004</v>
      </c>
      <c r="D180">
        <v>5390.7001950000003</v>
      </c>
      <c r="E180">
        <v>115.8</v>
      </c>
      <c r="F180">
        <v>7344</v>
      </c>
    </row>
    <row r="181" spans="1:6">
      <c r="A181" s="89">
        <v>83.006944444444443</v>
      </c>
      <c r="B181">
        <v>178</v>
      </c>
      <c r="C181">
        <v>8.2810001399999997</v>
      </c>
      <c r="D181">
        <v>5541.7998049999997</v>
      </c>
      <c r="E181">
        <v>115.4</v>
      </c>
      <c r="F181">
        <v>7338</v>
      </c>
    </row>
    <row r="182" spans="1:6">
      <c r="A182" s="89">
        <v>83.007638888888891</v>
      </c>
      <c r="B182">
        <v>179</v>
      </c>
      <c r="C182">
        <v>8.1389999399999997</v>
      </c>
      <c r="D182">
        <v>5541.7998049999997</v>
      </c>
      <c r="E182">
        <v>115.9</v>
      </c>
      <c r="F182">
        <v>7102</v>
      </c>
    </row>
    <row r="183" spans="1:6">
      <c r="A183" s="89">
        <v>83.00833333333334</v>
      </c>
      <c r="B183">
        <v>180</v>
      </c>
      <c r="C183">
        <v>8.5319995899999999</v>
      </c>
      <c r="D183">
        <v>5541.7998049999997</v>
      </c>
      <c r="E183">
        <v>113.6</v>
      </c>
      <c r="F183">
        <v>7396</v>
      </c>
    </row>
    <row r="184" spans="1:6">
      <c r="A184" s="89">
        <v>83.042361111111106</v>
      </c>
      <c r="B184">
        <v>181</v>
      </c>
      <c r="C184">
        <v>8.34599972</v>
      </c>
      <c r="D184">
        <v>5465.7998049999997</v>
      </c>
      <c r="E184">
        <v>111.7</v>
      </c>
      <c r="F184">
        <v>6639</v>
      </c>
    </row>
    <row r="185" spans="1:6">
      <c r="A185" s="89">
        <v>83.043055555555554</v>
      </c>
      <c r="B185">
        <v>182</v>
      </c>
      <c r="C185">
        <v>7.7309999500000002</v>
      </c>
      <c r="D185">
        <v>5465.7998049999997</v>
      </c>
      <c r="E185">
        <v>110.8</v>
      </c>
      <c r="F185">
        <v>7112</v>
      </c>
    </row>
    <row r="186" spans="1:6">
      <c r="A186" s="89">
        <v>83.043750000000003</v>
      </c>
      <c r="B186">
        <v>183</v>
      </c>
      <c r="C186">
        <v>7.9710001899999998</v>
      </c>
      <c r="D186">
        <v>5465.7998049999997</v>
      </c>
      <c r="E186">
        <v>109.8</v>
      </c>
      <c r="F186">
        <v>7389</v>
      </c>
    </row>
    <row r="187" spans="1:6">
      <c r="A187" s="89">
        <v>83.044444444444437</v>
      </c>
      <c r="B187">
        <v>184</v>
      </c>
      <c r="C187">
        <v>8.7419996300000005</v>
      </c>
      <c r="D187">
        <v>5595.2998049999997</v>
      </c>
      <c r="E187">
        <v>111.2</v>
      </c>
      <c r="F187">
        <v>7435</v>
      </c>
    </row>
    <row r="188" spans="1:6">
      <c r="A188" s="89">
        <v>83.045138888888886</v>
      </c>
      <c r="B188">
        <v>185</v>
      </c>
      <c r="C188">
        <v>8.7060003300000002</v>
      </c>
      <c r="D188">
        <v>5595.2998049999997</v>
      </c>
      <c r="E188">
        <v>112.9</v>
      </c>
      <c r="F188">
        <v>7585</v>
      </c>
    </row>
    <row r="189" spans="1:6">
      <c r="A189" s="89">
        <v>83.045833333333334</v>
      </c>
      <c r="B189">
        <v>186</v>
      </c>
      <c r="C189">
        <v>8.6909999800000008</v>
      </c>
      <c r="D189">
        <v>5595.2998049999997</v>
      </c>
      <c r="E189">
        <v>113</v>
      </c>
      <c r="F189">
        <v>7700</v>
      </c>
    </row>
    <row r="190" spans="1:6">
      <c r="A190" s="89">
        <v>83.046527777777769</v>
      </c>
      <c r="B190">
        <v>187</v>
      </c>
      <c r="C190">
        <v>8.6730003399999998</v>
      </c>
      <c r="D190">
        <v>5630.2998049999997</v>
      </c>
      <c r="E190">
        <v>110.9</v>
      </c>
      <c r="F190">
        <v>7785</v>
      </c>
    </row>
    <row r="191" spans="1:6">
      <c r="A191" s="89">
        <v>83.047222222222231</v>
      </c>
      <c r="B191">
        <v>188</v>
      </c>
      <c r="C191">
        <v>8.4340000199999992</v>
      </c>
      <c r="D191">
        <v>5630.2998049999997</v>
      </c>
      <c r="E191">
        <v>109.7</v>
      </c>
      <c r="F191">
        <v>7864</v>
      </c>
    </row>
    <row r="192" spans="1:6">
      <c r="A192" s="89">
        <v>83.047916666666666</v>
      </c>
      <c r="B192">
        <v>189</v>
      </c>
      <c r="C192">
        <v>8.3149995800000003</v>
      </c>
      <c r="D192">
        <v>5630.2998049999997</v>
      </c>
      <c r="E192">
        <v>108.5</v>
      </c>
      <c r="F192">
        <v>7607</v>
      </c>
    </row>
    <row r="193" spans="1:6">
      <c r="A193" s="89">
        <v>83.048611111111114</v>
      </c>
      <c r="B193">
        <v>190</v>
      </c>
      <c r="C193">
        <v>8.9680004100000001</v>
      </c>
      <c r="D193">
        <v>5748.5</v>
      </c>
      <c r="E193">
        <v>112.7</v>
      </c>
      <c r="F193">
        <v>7382</v>
      </c>
    </row>
    <row r="194" spans="1:6">
      <c r="A194" s="89">
        <v>83.049305555555563</v>
      </c>
      <c r="B194">
        <v>191</v>
      </c>
      <c r="C194">
        <v>8.9219999300000001</v>
      </c>
      <c r="D194">
        <v>5748.5</v>
      </c>
      <c r="E194">
        <v>111.3</v>
      </c>
      <c r="F194">
        <v>7533</v>
      </c>
    </row>
    <row r="195" spans="1:6">
      <c r="A195" s="89">
        <v>83.05</v>
      </c>
      <c r="B195">
        <v>192</v>
      </c>
      <c r="C195">
        <v>8.7130002999999991</v>
      </c>
      <c r="D195">
        <v>5748.5</v>
      </c>
      <c r="E195">
        <v>107</v>
      </c>
      <c r="F195">
        <v>7661</v>
      </c>
    </row>
    <row r="196" spans="1:6">
      <c r="A196" s="89">
        <v>83.084027777777777</v>
      </c>
      <c r="B196">
        <v>193</v>
      </c>
      <c r="C196">
        <v>8.7270002400000006</v>
      </c>
      <c r="D196">
        <v>5713.7001950000003</v>
      </c>
      <c r="E196">
        <v>104.3</v>
      </c>
      <c r="F196">
        <v>6980</v>
      </c>
    </row>
    <row r="197" spans="1:6">
      <c r="A197" s="89">
        <v>83.084722222222226</v>
      </c>
      <c r="B197">
        <v>194</v>
      </c>
      <c r="C197">
        <v>9.1059999499999993</v>
      </c>
      <c r="D197">
        <v>5713.7001950000003</v>
      </c>
      <c r="E197">
        <v>105.1</v>
      </c>
      <c r="F197">
        <v>7275</v>
      </c>
    </row>
    <row r="198" spans="1:6">
      <c r="A198" s="89">
        <v>83.08541666666666</v>
      </c>
      <c r="B198">
        <v>195</v>
      </c>
      <c r="C198">
        <v>9.1000003800000009</v>
      </c>
      <c r="D198">
        <v>5713.7001950000003</v>
      </c>
      <c r="E198">
        <v>104.5</v>
      </c>
      <c r="F198">
        <v>7395</v>
      </c>
    </row>
    <row r="199" spans="1:6">
      <c r="A199" s="89">
        <v>83.086111111111109</v>
      </c>
      <c r="B199">
        <v>196</v>
      </c>
      <c r="C199">
        <v>9.4720001200000006</v>
      </c>
      <c r="D199">
        <v>5860.7998049999997</v>
      </c>
      <c r="E199">
        <v>106.4</v>
      </c>
      <c r="F199">
        <v>7564</v>
      </c>
    </row>
    <row r="200" spans="1:6">
      <c r="A200" s="89">
        <v>83.086805555555557</v>
      </c>
      <c r="B200">
        <v>197</v>
      </c>
      <c r="C200">
        <v>8.8020000500000002</v>
      </c>
      <c r="D200">
        <v>5860.7998049999997</v>
      </c>
      <c r="E200">
        <v>108</v>
      </c>
      <c r="F200">
        <v>7644</v>
      </c>
    </row>
    <row r="201" spans="1:6">
      <c r="A201" s="89">
        <v>83.087499999999991</v>
      </c>
      <c r="B201">
        <v>198</v>
      </c>
      <c r="C201">
        <v>8.6639995600000006</v>
      </c>
      <c r="D201">
        <v>5860.7998049999997</v>
      </c>
      <c r="E201">
        <v>110.6</v>
      </c>
      <c r="F201">
        <v>7922</v>
      </c>
    </row>
    <row r="202" spans="1:6">
      <c r="A202" s="89">
        <v>83.08819444444444</v>
      </c>
      <c r="B202">
        <v>199</v>
      </c>
      <c r="C202">
        <v>8.7279996900000008</v>
      </c>
      <c r="D202">
        <v>5935.2998049999997</v>
      </c>
      <c r="E202">
        <v>113.6</v>
      </c>
      <c r="F202">
        <v>7884</v>
      </c>
    </row>
    <row r="203" spans="1:6">
      <c r="A203" s="89">
        <v>83.088888888888889</v>
      </c>
      <c r="B203">
        <v>200</v>
      </c>
      <c r="C203">
        <v>9.0790004700000004</v>
      </c>
      <c r="D203">
        <v>5935.2998049999997</v>
      </c>
      <c r="E203">
        <v>118.2</v>
      </c>
      <c r="F203">
        <v>7975</v>
      </c>
    </row>
    <row r="204" spans="1:6">
      <c r="A204" s="89">
        <v>83.089583333333337</v>
      </c>
      <c r="B204">
        <v>201</v>
      </c>
      <c r="C204">
        <v>9.0590000199999992</v>
      </c>
      <c r="D204">
        <v>5935.2998049999997</v>
      </c>
      <c r="E204">
        <v>117.7</v>
      </c>
      <c r="F204">
        <v>7615</v>
      </c>
    </row>
    <row r="205" spans="1:6">
      <c r="A205" s="89">
        <v>83.090277777777786</v>
      </c>
      <c r="B205">
        <v>202</v>
      </c>
      <c r="C205">
        <v>9.0850000400000006</v>
      </c>
      <c r="D205">
        <v>6042.3999020000001</v>
      </c>
      <c r="E205">
        <v>115.2</v>
      </c>
      <c r="F205">
        <v>7548</v>
      </c>
    </row>
    <row r="206" spans="1:6">
      <c r="A206" s="89">
        <v>83.09097222222222</v>
      </c>
      <c r="B206">
        <v>203</v>
      </c>
      <c r="C206">
        <v>8.9680004100000001</v>
      </c>
      <c r="D206">
        <v>6042.3999020000001</v>
      </c>
      <c r="E206">
        <v>116.3</v>
      </c>
      <c r="F206">
        <v>7464</v>
      </c>
    </row>
    <row r="207" spans="1:6">
      <c r="A207" s="89">
        <v>83.091666666666669</v>
      </c>
      <c r="B207">
        <v>204</v>
      </c>
      <c r="C207">
        <v>9.0970001200000006</v>
      </c>
      <c r="D207">
        <v>6042.3999020000001</v>
      </c>
      <c r="E207">
        <v>114.3</v>
      </c>
      <c r="F207">
        <v>7924</v>
      </c>
    </row>
    <row r="208" spans="1:6">
      <c r="A208" s="89">
        <v>83.125694444444449</v>
      </c>
      <c r="B208">
        <v>205</v>
      </c>
      <c r="C208">
        <v>8.8649997700000007</v>
      </c>
      <c r="D208">
        <v>6109.8999020000001</v>
      </c>
      <c r="E208">
        <v>112.9</v>
      </c>
      <c r="F208">
        <v>7163</v>
      </c>
    </row>
    <row r="209" spans="1:6">
      <c r="A209" s="89">
        <v>83.126388888888883</v>
      </c>
      <c r="B209">
        <v>206</v>
      </c>
      <c r="C209">
        <v>8.4600000400000006</v>
      </c>
      <c r="D209">
        <v>6109.8999020000001</v>
      </c>
      <c r="E209">
        <v>112</v>
      </c>
      <c r="F209">
        <v>7481</v>
      </c>
    </row>
    <row r="210" spans="1:6">
      <c r="A210" s="89">
        <v>83.127083333333331</v>
      </c>
      <c r="B210">
        <v>207</v>
      </c>
      <c r="C210">
        <v>8.5989999800000003</v>
      </c>
      <c r="D210">
        <v>6109.8999020000001</v>
      </c>
      <c r="E210">
        <v>111.5</v>
      </c>
      <c r="F210">
        <v>7788</v>
      </c>
    </row>
    <row r="211" spans="1:6">
      <c r="A211" s="89">
        <v>83.12777777777778</v>
      </c>
      <c r="B211">
        <v>208</v>
      </c>
      <c r="C211">
        <v>8.0760002100000001</v>
      </c>
      <c r="D211">
        <v>6163.2998049999997</v>
      </c>
      <c r="E211">
        <v>114</v>
      </c>
      <c r="F211">
        <v>7651</v>
      </c>
    </row>
    <row r="212" spans="1:6">
      <c r="A212" s="89">
        <v>83.128472222222214</v>
      </c>
      <c r="B212">
        <v>209</v>
      </c>
      <c r="C212">
        <v>8.6529998799999994</v>
      </c>
      <c r="D212">
        <v>6163.2998049999997</v>
      </c>
      <c r="E212">
        <v>120</v>
      </c>
      <c r="F212">
        <v>7894</v>
      </c>
    </row>
    <row r="213" spans="1:6">
      <c r="A213" s="89">
        <v>83.129166666666663</v>
      </c>
      <c r="B213">
        <v>210</v>
      </c>
      <c r="C213">
        <v>8.8229999499999998</v>
      </c>
      <c r="D213">
        <v>6163.2998049999997</v>
      </c>
      <c r="E213">
        <v>122.6</v>
      </c>
      <c r="F213">
        <v>8220</v>
      </c>
    </row>
    <row r="214" spans="1:6">
      <c r="A214" s="89">
        <v>83.129861111111111</v>
      </c>
      <c r="B214">
        <v>211</v>
      </c>
      <c r="C214">
        <v>8.4650001499999998</v>
      </c>
      <c r="D214">
        <v>6225.8999020000001</v>
      </c>
      <c r="E214">
        <v>119.5</v>
      </c>
      <c r="F214">
        <v>7888</v>
      </c>
    </row>
    <row r="215" spans="1:6">
      <c r="A215" s="89">
        <v>83.13055555555556</v>
      </c>
      <c r="B215">
        <v>212</v>
      </c>
      <c r="C215">
        <v>9.4479999499999998</v>
      </c>
      <c r="D215">
        <v>6225.8999020000001</v>
      </c>
      <c r="E215">
        <v>116.4</v>
      </c>
      <c r="F215">
        <v>8187</v>
      </c>
    </row>
    <row r="216" spans="1:6">
      <c r="A216" s="89">
        <v>83.131250000000009</v>
      </c>
      <c r="B216">
        <v>213</v>
      </c>
      <c r="C216">
        <v>8.61299992</v>
      </c>
      <c r="D216">
        <v>6225.8999020000001</v>
      </c>
      <c r="E216">
        <v>114.8</v>
      </c>
      <c r="F216">
        <v>7786</v>
      </c>
    </row>
    <row r="217" spans="1:6">
      <c r="A217" s="89">
        <v>83.131944444444443</v>
      </c>
      <c r="B217">
        <v>214</v>
      </c>
      <c r="C217">
        <v>8.6440000500000007</v>
      </c>
      <c r="D217">
        <v>6304.6000979999999</v>
      </c>
      <c r="E217">
        <v>112.7</v>
      </c>
      <c r="F217">
        <v>7781</v>
      </c>
    </row>
    <row r="218" spans="1:6">
      <c r="A218" s="89">
        <v>83.132638888888891</v>
      </c>
      <c r="B218">
        <v>215</v>
      </c>
      <c r="C218">
        <v>8.6940002399999994</v>
      </c>
      <c r="D218">
        <v>6304.6000979999999</v>
      </c>
      <c r="E218">
        <v>110.1</v>
      </c>
      <c r="F218">
        <v>7866</v>
      </c>
    </row>
    <row r="219" spans="1:6">
      <c r="A219" s="89">
        <v>83.13333333333334</v>
      </c>
      <c r="B219">
        <v>216</v>
      </c>
      <c r="C219">
        <v>8.9079999900000004</v>
      </c>
      <c r="D219">
        <v>6304.6000979999999</v>
      </c>
      <c r="E219">
        <v>110.1</v>
      </c>
      <c r="F219">
        <v>7742</v>
      </c>
    </row>
    <row r="220" spans="1:6">
      <c r="A220" s="89">
        <v>83.167361111111106</v>
      </c>
      <c r="B220">
        <v>217</v>
      </c>
      <c r="C220">
        <v>8.1680002199999997</v>
      </c>
      <c r="D220">
        <v>6405.1000979999999</v>
      </c>
      <c r="E220">
        <v>112.9</v>
      </c>
      <c r="F220">
        <v>7271</v>
      </c>
    </row>
    <row r="221" spans="1:6">
      <c r="A221" s="89">
        <v>83.168055555555554</v>
      </c>
      <c r="B221">
        <v>218</v>
      </c>
      <c r="C221">
        <v>8.7489995999999994</v>
      </c>
      <c r="D221">
        <v>6405.1000979999999</v>
      </c>
      <c r="E221">
        <v>112.4</v>
      </c>
      <c r="F221">
        <v>7599</v>
      </c>
    </row>
    <row r="222" spans="1:6">
      <c r="A222" s="89">
        <v>83.168750000000003</v>
      </c>
      <c r="B222">
        <v>219</v>
      </c>
      <c r="C222">
        <v>8.8170003900000005</v>
      </c>
      <c r="D222">
        <v>6405.1000979999999</v>
      </c>
      <c r="E222">
        <v>116.2</v>
      </c>
      <c r="F222">
        <v>7792</v>
      </c>
    </row>
    <row r="223" spans="1:6">
      <c r="A223" s="89">
        <v>83.169444444444437</v>
      </c>
      <c r="B223">
        <v>220</v>
      </c>
      <c r="C223">
        <v>8.8260002100000001</v>
      </c>
      <c r="D223">
        <v>6509.3999020000001</v>
      </c>
      <c r="E223">
        <v>125.1</v>
      </c>
      <c r="F223">
        <v>7873</v>
      </c>
    </row>
    <row r="224" spans="1:6">
      <c r="A224" s="89">
        <v>83.170138888888886</v>
      </c>
      <c r="B224">
        <v>221</v>
      </c>
      <c r="C224">
        <v>9.0209999100000005</v>
      </c>
      <c r="D224">
        <v>6509.3999020000001</v>
      </c>
      <c r="E224">
        <v>132.30000000000001</v>
      </c>
      <c r="F224">
        <v>8071</v>
      </c>
    </row>
    <row r="225" spans="1:6">
      <c r="A225" s="89">
        <v>83.170833333333334</v>
      </c>
      <c r="B225">
        <v>222</v>
      </c>
      <c r="C225">
        <v>8.52900028</v>
      </c>
      <c r="D225">
        <v>6509.3999020000001</v>
      </c>
      <c r="E225">
        <v>129.89999</v>
      </c>
      <c r="F225">
        <v>8088</v>
      </c>
    </row>
    <row r="226" spans="1:6">
      <c r="A226" s="89">
        <v>83.171527777777769</v>
      </c>
      <c r="B226">
        <v>223</v>
      </c>
      <c r="C226">
        <v>8.3819999700000007</v>
      </c>
      <c r="D226">
        <v>6597.1000979999999</v>
      </c>
      <c r="E226">
        <v>127.2</v>
      </c>
      <c r="F226">
        <v>8165</v>
      </c>
    </row>
    <row r="227" spans="1:6">
      <c r="A227" s="89">
        <v>83.172222222222231</v>
      </c>
      <c r="B227">
        <v>224</v>
      </c>
      <c r="C227">
        <v>8.5369997000000009</v>
      </c>
      <c r="D227">
        <v>6597.1000979999999</v>
      </c>
      <c r="E227">
        <v>124</v>
      </c>
      <c r="F227">
        <v>8343</v>
      </c>
    </row>
    <row r="228" spans="1:6">
      <c r="A228" s="89">
        <v>83.172916666666666</v>
      </c>
      <c r="B228">
        <v>225</v>
      </c>
      <c r="C228">
        <v>8.8290004700000004</v>
      </c>
      <c r="D228">
        <v>6597.1000979999999</v>
      </c>
      <c r="E228">
        <v>123.4</v>
      </c>
      <c r="F228">
        <v>7662</v>
      </c>
    </row>
    <row r="229" spans="1:6">
      <c r="A229" s="89">
        <v>83.173611111111114</v>
      </c>
      <c r="B229">
        <v>226</v>
      </c>
      <c r="C229">
        <v>8.1289997100000004</v>
      </c>
      <c r="D229">
        <v>6677.8999020000001</v>
      </c>
      <c r="E229">
        <v>122.7</v>
      </c>
      <c r="F229">
        <v>8093</v>
      </c>
    </row>
    <row r="230" spans="1:6">
      <c r="A230" s="89">
        <v>83.174305555555563</v>
      </c>
      <c r="B230">
        <v>227</v>
      </c>
      <c r="C230">
        <v>8.1140003200000006</v>
      </c>
      <c r="D230">
        <v>6677.8999020000001</v>
      </c>
      <c r="E230">
        <v>125</v>
      </c>
      <c r="F230">
        <v>7915</v>
      </c>
    </row>
    <row r="231" spans="1:6">
      <c r="A231" s="89">
        <v>83.174999999999997</v>
      </c>
      <c r="B231">
        <v>228</v>
      </c>
      <c r="C231">
        <v>8.2200002699999999</v>
      </c>
      <c r="D231">
        <v>6677.8999020000001</v>
      </c>
      <c r="E231">
        <v>126</v>
      </c>
      <c r="F231">
        <v>7794</v>
      </c>
    </row>
    <row r="232" spans="1:6">
      <c r="A232" s="89">
        <v>83.209027777777777</v>
      </c>
      <c r="B232">
        <v>229</v>
      </c>
      <c r="C232">
        <v>8.7370004699999999</v>
      </c>
      <c r="D232">
        <v>6792.3999020000001</v>
      </c>
      <c r="E232">
        <v>126.1</v>
      </c>
      <c r="F232">
        <v>7301</v>
      </c>
    </row>
    <row r="233" spans="1:6">
      <c r="A233" s="89">
        <v>83.209722222222226</v>
      </c>
      <c r="B233">
        <v>230</v>
      </c>
      <c r="C233">
        <v>8.4169998199999991</v>
      </c>
      <c r="D233">
        <v>6792.3999020000001</v>
      </c>
      <c r="E233">
        <v>125.5</v>
      </c>
      <c r="F233">
        <v>7668</v>
      </c>
    </row>
    <row r="234" spans="1:6">
      <c r="A234" s="89">
        <v>83.21041666666666</v>
      </c>
      <c r="B234">
        <v>231</v>
      </c>
      <c r="C234">
        <v>8.6440000500000007</v>
      </c>
      <c r="D234">
        <v>6792.3999020000001</v>
      </c>
      <c r="E234">
        <v>123.5</v>
      </c>
      <c r="F234">
        <v>7796</v>
      </c>
    </row>
    <row r="235" spans="1:6">
      <c r="A235" s="89">
        <v>83.211111111111109</v>
      </c>
      <c r="B235">
        <v>232</v>
      </c>
      <c r="C235">
        <v>8.0920000099999996</v>
      </c>
      <c r="D235">
        <v>6879.1000979999999</v>
      </c>
      <c r="E235">
        <v>123.1</v>
      </c>
      <c r="F235">
        <v>8064</v>
      </c>
    </row>
    <row r="236" spans="1:6">
      <c r="A236" s="89">
        <v>83.211805555555557</v>
      </c>
      <c r="B236">
        <v>233</v>
      </c>
      <c r="C236">
        <v>7.9790000900000004</v>
      </c>
      <c r="D236">
        <v>6879.1000979999999</v>
      </c>
      <c r="E236">
        <v>122.6</v>
      </c>
      <c r="F236">
        <v>8139</v>
      </c>
    </row>
    <row r="237" spans="1:6">
      <c r="A237" s="89">
        <v>83.212499999999991</v>
      </c>
      <c r="B237">
        <v>234</v>
      </c>
      <c r="C237">
        <v>8.0579996099999995</v>
      </c>
      <c r="D237">
        <v>6879.1000979999999</v>
      </c>
      <c r="E237">
        <v>122.9</v>
      </c>
      <c r="F237">
        <v>8288</v>
      </c>
    </row>
    <row r="238" spans="1:6">
      <c r="A238" s="89">
        <v>83.21319444444444</v>
      </c>
      <c r="B238">
        <v>235</v>
      </c>
      <c r="C238">
        <v>8.4479999499999998</v>
      </c>
      <c r="D238">
        <v>6978.6000979999999</v>
      </c>
      <c r="E238">
        <v>120.5</v>
      </c>
      <c r="F238">
        <v>8496</v>
      </c>
    </row>
    <row r="239" spans="1:6">
      <c r="A239" s="89">
        <v>83.213888888888889</v>
      </c>
      <c r="B239">
        <v>236</v>
      </c>
      <c r="C239">
        <v>8.4460000999999991</v>
      </c>
      <c r="D239">
        <v>6978.6000979999999</v>
      </c>
      <c r="E239">
        <v>125.3</v>
      </c>
      <c r="F239">
        <v>8233</v>
      </c>
    </row>
    <row r="240" spans="1:6">
      <c r="A240" s="89">
        <v>83.214583333333337</v>
      </c>
      <c r="B240">
        <v>237</v>
      </c>
      <c r="C240">
        <v>8.1940002399999994</v>
      </c>
      <c r="D240">
        <v>6978.6000979999999</v>
      </c>
      <c r="E240">
        <v>127.7</v>
      </c>
      <c r="F240">
        <v>8023</v>
      </c>
    </row>
    <row r="241" spans="1:6">
      <c r="A241" s="89">
        <v>83.215277777777786</v>
      </c>
      <c r="B241">
        <v>238</v>
      </c>
      <c r="C241">
        <v>8.0369997000000009</v>
      </c>
      <c r="D241">
        <v>7097.9379879999997</v>
      </c>
      <c r="E241">
        <v>124.2</v>
      </c>
      <c r="F241">
        <v>8141</v>
      </c>
    </row>
    <row r="242" spans="1:6">
      <c r="A242" s="89">
        <v>83.21597222222222</v>
      </c>
      <c r="B242">
        <v>239</v>
      </c>
      <c r="C242">
        <v>8.0670003900000005</v>
      </c>
      <c r="D242">
        <v>7097.9379879999997</v>
      </c>
      <c r="E242">
        <v>121.3</v>
      </c>
      <c r="F242">
        <v>7965</v>
      </c>
    </row>
    <row r="243" spans="1:6">
      <c r="A243" s="89">
        <v>83.216666666666669</v>
      </c>
      <c r="B243">
        <v>240</v>
      </c>
      <c r="C243">
        <v>8.1529998799999994</v>
      </c>
      <c r="D243">
        <v>7097.9379879999997</v>
      </c>
      <c r="E243">
        <v>117.7</v>
      </c>
      <c r="F243">
        <v>8065</v>
      </c>
    </row>
    <row r="244" spans="1:6">
      <c r="A244" s="89">
        <v>83.250694444444449</v>
      </c>
      <c r="B244">
        <v>241</v>
      </c>
      <c r="C244">
        <v>7.5009999299999999</v>
      </c>
      <c r="D244">
        <v>7254.8208009999998</v>
      </c>
      <c r="E244">
        <v>113.1</v>
      </c>
      <c r="F244">
        <v>7618</v>
      </c>
    </row>
    <row r="245" spans="1:6">
      <c r="A245" s="89">
        <v>83.251388888888883</v>
      </c>
      <c r="B245">
        <v>242</v>
      </c>
      <c r="C245">
        <v>7.8949999799999997</v>
      </c>
      <c r="D245">
        <v>7254.8208009999998</v>
      </c>
      <c r="E245">
        <v>108.2</v>
      </c>
      <c r="F245">
        <v>7711</v>
      </c>
    </row>
    <row r="246" spans="1:6">
      <c r="A246" s="89">
        <v>83.252083333333331</v>
      </c>
      <c r="B246">
        <v>243</v>
      </c>
      <c r="C246">
        <v>8.0129995300000001</v>
      </c>
      <c r="D246">
        <v>7254.8208009999998</v>
      </c>
      <c r="E246">
        <v>104.1</v>
      </c>
      <c r="F246">
        <v>8004</v>
      </c>
    </row>
    <row r="247" spans="1:6">
      <c r="A247" s="89">
        <v>83.25277777777778</v>
      </c>
      <c r="B247">
        <v>244</v>
      </c>
      <c r="C247">
        <v>8.1859998699999998</v>
      </c>
      <c r="D247">
        <v>7382.8139650000003</v>
      </c>
      <c r="E247">
        <v>105.2</v>
      </c>
      <c r="F247">
        <v>8312</v>
      </c>
    </row>
    <row r="248" spans="1:6">
      <c r="A248" s="89">
        <v>83.253472222222214</v>
      </c>
      <c r="B248">
        <v>245</v>
      </c>
      <c r="C248">
        <v>8.625</v>
      </c>
      <c r="D248">
        <v>7382.8139650000003</v>
      </c>
      <c r="E248">
        <v>109.2</v>
      </c>
      <c r="F248">
        <v>8279</v>
      </c>
    </row>
    <row r="249" spans="1:6">
      <c r="A249" s="89">
        <v>83.254166666666663</v>
      </c>
      <c r="B249">
        <v>246</v>
      </c>
      <c r="C249">
        <v>8.4809999499999993</v>
      </c>
      <c r="D249">
        <v>7382.8139650000003</v>
      </c>
      <c r="E249">
        <v>109.4</v>
      </c>
      <c r="F249">
        <v>8520</v>
      </c>
    </row>
    <row r="250" spans="1:6">
      <c r="A250" s="89">
        <v>83.254861111111111</v>
      </c>
      <c r="B250">
        <v>247</v>
      </c>
      <c r="C250">
        <v>7.38100004</v>
      </c>
      <c r="D250">
        <v>7490.6860349999997</v>
      </c>
      <c r="E250">
        <v>107.9</v>
      </c>
      <c r="F250">
        <v>8680</v>
      </c>
    </row>
    <row r="251" spans="1:6">
      <c r="A251" s="89">
        <v>83.25555555555556</v>
      </c>
      <c r="B251">
        <v>248</v>
      </c>
      <c r="C251">
        <v>7.6170001000000003</v>
      </c>
      <c r="D251">
        <v>7490.6860349999997</v>
      </c>
      <c r="E251">
        <v>105.2</v>
      </c>
      <c r="F251">
        <v>8568</v>
      </c>
    </row>
    <row r="252" spans="1:6">
      <c r="A252" s="89">
        <v>83.256250000000009</v>
      </c>
      <c r="B252">
        <v>249</v>
      </c>
      <c r="C252">
        <v>8.2899999599999994</v>
      </c>
      <c r="D252">
        <v>7490.6860349999997</v>
      </c>
      <c r="E252">
        <v>103.3</v>
      </c>
      <c r="F252">
        <v>8310</v>
      </c>
    </row>
    <row r="253" spans="1:6">
      <c r="A253" s="89">
        <v>83.256944444444443</v>
      </c>
      <c r="B253">
        <v>250</v>
      </c>
      <c r="C253">
        <v>8.7019996600000002</v>
      </c>
      <c r="D253">
        <v>7575.8090819999998</v>
      </c>
      <c r="E253">
        <v>104.2</v>
      </c>
      <c r="F253">
        <v>8378</v>
      </c>
    </row>
    <row r="254" spans="1:6">
      <c r="A254" s="89">
        <v>83.257638888888891</v>
      </c>
      <c r="B254">
        <v>251</v>
      </c>
      <c r="C254">
        <v>8.0089998199999997</v>
      </c>
      <c r="D254">
        <v>7575.8090819999998</v>
      </c>
      <c r="E254">
        <v>102.8</v>
      </c>
      <c r="F254">
        <v>8167</v>
      </c>
    </row>
    <row r="255" spans="1:6">
      <c r="A255" s="89">
        <v>83.25833333333334</v>
      </c>
      <c r="B255">
        <v>252</v>
      </c>
      <c r="C255">
        <v>9.0039997100000004</v>
      </c>
      <c r="D255">
        <v>7575.8090819999998</v>
      </c>
      <c r="E255">
        <v>98.599997999999999</v>
      </c>
      <c r="F255">
        <v>8451</v>
      </c>
    </row>
    <row r="256" spans="1:6">
      <c r="A256" s="89">
        <v>83.292361111111106</v>
      </c>
      <c r="B256">
        <v>253</v>
      </c>
      <c r="C256">
        <v>8.1510000199999997</v>
      </c>
      <c r="D256">
        <v>7655.8872069999998</v>
      </c>
      <c r="E256">
        <v>97.199996999999996</v>
      </c>
      <c r="F256">
        <v>7701</v>
      </c>
    </row>
    <row r="257" spans="1:6">
      <c r="A257" s="89">
        <v>83.293055555555554</v>
      </c>
      <c r="B257">
        <v>254</v>
      </c>
      <c r="C257">
        <v>8.5360002500000007</v>
      </c>
      <c r="D257">
        <v>7655.8872069999998</v>
      </c>
      <c r="E257">
        <v>95.5</v>
      </c>
      <c r="F257">
        <v>8031</v>
      </c>
    </row>
    <row r="258" spans="1:6">
      <c r="A258" s="89">
        <v>83.293750000000003</v>
      </c>
      <c r="B258">
        <v>255</v>
      </c>
      <c r="C258">
        <v>8.4340000199999992</v>
      </c>
      <c r="D258">
        <v>7655.8872069999998</v>
      </c>
      <c r="E258">
        <v>99.099997999999999</v>
      </c>
      <c r="F258">
        <v>8128</v>
      </c>
    </row>
    <row r="259" spans="1:6">
      <c r="A259" s="89">
        <v>83.294444444444437</v>
      </c>
      <c r="B259">
        <v>256</v>
      </c>
      <c r="C259">
        <v>8.5240001700000008</v>
      </c>
      <c r="D259">
        <v>7722.1889650000003</v>
      </c>
      <c r="E259">
        <v>117.7</v>
      </c>
      <c r="F259">
        <v>8506</v>
      </c>
    </row>
    <row r="260" spans="1:6">
      <c r="A260" s="89">
        <v>83.295138888888886</v>
      </c>
      <c r="B260">
        <v>257</v>
      </c>
      <c r="C260">
        <v>8.6820001599999994</v>
      </c>
      <c r="D260">
        <v>7722.1889650000003</v>
      </c>
      <c r="E260">
        <v>117.8</v>
      </c>
      <c r="F260">
        <v>8420</v>
      </c>
    </row>
    <row r="261" spans="1:6">
      <c r="A261" s="89">
        <v>83.295833333333334</v>
      </c>
      <c r="B261">
        <v>258</v>
      </c>
      <c r="C261">
        <v>8.6689996699999998</v>
      </c>
      <c r="D261">
        <v>7722.1889650000003</v>
      </c>
      <c r="E261">
        <v>114.8</v>
      </c>
      <c r="F261">
        <v>8886</v>
      </c>
    </row>
    <row r="262" spans="1:6">
      <c r="A262" s="89">
        <v>83.296527777777769</v>
      </c>
      <c r="B262">
        <v>259</v>
      </c>
      <c r="C262">
        <v>8.9549999200000006</v>
      </c>
      <c r="D262">
        <v>7807.6918949999999</v>
      </c>
      <c r="E262">
        <v>118.9</v>
      </c>
      <c r="F262">
        <v>8942</v>
      </c>
    </row>
    <row r="263" spans="1:6">
      <c r="A263" s="89">
        <v>83.297222222222231</v>
      </c>
      <c r="B263">
        <v>260</v>
      </c>
      <c r="C263">
        <v>9.0200004600000003</v>
      </c>
      <c r="D263">
        <v>7807.6918949999999</v>
      </c>
      <c r="E263">
        <v>125.5</v>
      </c>
      <c r="F263">
        <v>8579</v>
      </c>
    </row>
    <row r="264" spans="1:6">
      <c r="A264" s="89">
        <v>83.297916666666666</v>
      </c>
      <c r="B264">
        <v>261</v>
      </c>
      <c r="C264">
        <v>8.6110000600000003</v>
      </c>
      <c r="D264">
        <v>7807.6918949999999</v>
      </c>
      <c r="E264">
        <v>128</v>
      </c>
      <c r="F264">
        <v>8305</v>
      </c>
    </row>
    <row r="265" spans="1:6">
      <c r="A265" s="89">
        <v>83.298611111111114</v>
      </c>
      <c r="B265">
        <v>262</v>
      </c>
      <c r="C265">
        <v>8.7390003200000006</v>
      </c>
      <c r="D265">
        <v>7960.2192379999997</v>
      </c>
      <c r="E265">
        <v>127.4</v>
      </c>
      <c r="F265">
        <v>8542</v>
      </c>
    </row>
    <row r="266" spans="1:6">
      <c r="A266" s="89">
        <v>83.299305555555563</v>
      </c>
      <c r="B266">
        <v>263</v>
      </c>
      <c r="C266">
        <v>8.8940000500000007</v>
      </c>
      <c r="D266">
        <v>7960.2192379999997</v>
      </c>
      <c r="E266">
        <v>126.4</v>
      </c>
      <c r="F266">
        <v>8240</v>
      </c>
    </row>
    <row r="267" spans="1:6">
      <c r="A267" s="89">
        <v>83.3</v>
      </c>
      <c r="B267">
        <v>264</v>
      </c>
      <c r="C267">
        <v>9.1479997599999994</v>
      </c>
      <c r="D267">
        <v>7960.2192379999997</v>
      </c>
      <c r="E267">
        <v>129.80000000000001</v>
      </c>
      <c r="F267">
        <v>8859</v>
      </c>
    </row>
    <row r="268" spans="1:6">
      <c r="A268" s="89">
        <v>83.334027777777777</v>
      </c>
      <c r="B268">
        <v>265</v>
      </c>
      <c r="C268">
        <v>9.4630002999999991</v>
      </c>
      <c r="D268">
        <v>8211.5966800000006</v>
      </c>
      <c r="E268">
        <v>130.10001</v>
      </c>
      <c r="F268">
        <v>7653</v>
      </c>
    </row>
    <row r="269" spans="1:6">
      <c r="A269" s="89">
        <v>83.334722222222226</v>
      </c>
      <c r="B269">
        <v>266</v>
      </c>
      <c r="C269">
        <v>9.6059999499999993</v>
      </c>
      <c r="D269">
        <v>8211.5966800000006</v>
      </c>
      <c r="E269">
        <v>136.89999</v>
      </c>
      <c r="F269">
        <v>8291</v>
      </c>
    </row>
    <row r="270" spans="1:6">
      <c r="A270" s="89">
        <v>83.33541666666666</v>
      </c>
      <c r="B270">
        <v>267</v>
      </c>
      <c r="C270">
        <v>9.0229997599999994</v>
      </c>
      <c r="D270">
        <v>8211.5966800000006</v>
      </c>
      <c r="E270">
        <v>154.10001</v>
      </c>
      <c r="F270">
        <v>8305</v>
      </c>
    </row>
    <row r="271" spans="1:6">
      <c r="A271" s="89">
        <v>83.336111111111109</v>
      </c>
      <c r="B271">
        <v>268</v>
      </c>
      <c r="C271">
        <v>8.9079999900000004</v>
      </c>
      <c r="D271">
        <v>8350.2333980000003</v>
      </c>
      <c r="E271">
        <v>150.60001</v>
      </c>
      <c r="F271">
        <v>8375</v>
      </c>
    </row>
    <row r="272" spans="1:6">
      <c r="A272" s="89">
        <v>83.336805555555557</v>
      </c>
      <c r="B272">
        <v>269</v>
      </c>
      <c r="C272">
        <v>8.7989997899999999</v>
      </c>
      <c r="D272">
        <v>8350.2333980000003</v>
      </c>
      <c r="E272">
        <v>149.80000000000001</v>
      </c>
      <c r="F272">
        <v>8661</v>
      </c>
    </row>
    <row r="273" spans="1:6">
      <c r="A273" s="89">
        <v>83.337499999999991</v>
      </c>
      <c r="B273">
        <v>270</v>
      </c>
      <c r="C273">
        <v>8.7849998500000002</v>
      </c>
      <c r="D273">
        <v>8350.2333980000003</v>
      </c>
      <c r="E273">
        <v>161.69999999999999</v>
      </c>
      <c r="F273">
        <v>8824</v>
      </c>
    </row>
    <row r="274" spans="1:6">
      <c r="A274" s="89">
        <v>83.33819444444444</v>
      </c>
      <c r="B274">
        <v>271</v>
      </c>
      <c r="C274">
        <v>8.7749996199999991</v>
      </c>
      <c r="D274">
        <v>8487.8486329999996</v>
      </c>
      <c r="E274">
        <v>159.30000000000001</v>
      </c>
      <c r="F274">
        <v>8642</v>
      </c>
    </row>
    <row r="275" spans="1:6">
      <c r="A275" s="89">
        <v>83.338888888888889</v>
      </c>
      <c r="B275">
        <v>272</v>
      </c>
      <c r="C275">
        <v>8.8020000500000002</v>
      </c>
      <c r="D275">
        <v>8487.8486329999996</v>
      </c>
      <c r="E275">
        <v>151</v>
      </c>
      <c r="F275">
        <v>8921</v>
      </c>
    </row>
    <row r="276" spans="1:6">
      <c r="A276" s="89">
        <v>83.339583333333337</v>
      </c>
      <c r="B276">
        <v>273</v>
      </c>
      <c r="C276">
        <v>9.01200008</v>
      </c>
      <c r="D276">
        <v>8487.8486329999996</v>
      </c>
      <c r="E276">
        <v>158.19999999999999</v>
      </c>
      <c r="F276">
        <v>8518</v>
      </c>
    </row>
    <row r="277" spans="1:6">
      <c r="A277" s="89">
        <v>83.340277777777786</v>
      </c>
      <c r="B277">
        <v>274</v>
      </c>
      <c r="C277">
        <v>8.5439996699999998</v>
      </c>
      <c r="D277">
        <v>8576.5683590000008</v>
      </c>
      <c r="E277">
        <v>155.89999</v>
      </c>
      <c r="F277">
        <v>8417</v>
      </c>
    </row>
    <row r="278" spans="1:6">
      <c r="A278" s="89">
        <v>83.34097222222222</v>
      </c>
      <c r="B278">
        <v>275</v>
      </c>
      <c r="C278">
        <v>8.3219995499999992</v>
      </c>
      <c r="D278">
        <v>8576.5683590000008</v>
      </c>
      <c r="E278">
        <v>155.5</v>
      </c>
      <c r="F278">
        <v>8384</v>
      </c>
    </row>
    <row r="279" spans="1:6">
      <c r="A279" s="89">
        <v>83.341666666666669</v>
      </c>
      <c r="B279">
        <v>276</v>
      </c>
      <c r="C279">
        <v>8.1870002700000004</v>
      </c>
      <c r="D279">
        <v>8576.5683590000008</v>
      </c>
      <c r="E279">
        <v>148.89999</v>
      </c>
      <c r="F279">
        <v>8670</v>
      </c>
    </row>
    <row r="280" spans="1:6">
      <c r="A280" s="89">
        <v>83.375694444444449</v>
      </c>
      <c r="B280">
        <v>277</v>
      </c>
      <c r="C280">
        <v>8.7840004</v>
      </c>
      <c r="D280">
        <v>8658.09375</v>
      </c>
      <c r="E280">
        <v>147.19999999999999</v>
      </c>
      <c r="F280">
        <v>8099</v>
      </c>
    </row>
    <row r="281" spans="1:6">
      <c r="A281" s="89">
        <v>83.376388888888883</v>
      </c>
      <c r="B281">
        <v>278</v>
      </c>
      <c r="C281">
        <v>8.8680000299999993</v>
      </c>
      <c r="D281">
        <v>8658.09375</v>
      </c>
      <c r="E281">
        <v>148.39999</v>
      </c>
      <c r="F281">
        <v>8234</v>
      </c>
    </row>
    <row r="282" spans="1:6">
      <c r="A282" s="89">
        <v>83.377083333333331</v>
      </c>
      <c r="B282">
        <v>279</v>
      </c>
      <c r="C282">
        <v>8.3240003599999994</v>
      </c>
      <c r="D282">
        <v>8658.09375</v>
      </c>
      <c r="E282">
        <v>144.69999999999999</v>
      </c>
      <c r="F282">
        <v>8532</v>
      </c>
    </row>
    <row r="283" spans="1:6">
      <c r="A283" s="89">
        <v>83.37777777777778</v>
      </c>
      <c r="B283">
        <v>280</v>
      </c>
      <c r="C283">
        <v>8.3070001599999994</v>
      </c>
      <c r="D283">
        <v>8676.1572269999997</v>
      </c>
      <c r="E283">
        <v>156.39999</v>
      </c>
      <c r="F283">
        <v>8575</v>
      </c>
    </row>
    <row r="284" spans="1:6">
      <c r="A284" s="89">
        <v>83.378472222222214</v>
      </c>
      <c r="B284">
        <v>281</v>
      </c>
      <c r="C284">
        <v>8.2819995899999999</v>
      </c>
      <c r="D284">
        <v>8676.1572269999997</v>
      </c>
      <c r="E284">
        <v>172.89999</v>
      </c>
      <c r="F284">
        <v>8706</v>
      </c>
    </row>
    <row r="285" spans="1:6">
      <c r="A285" s="89">
        <v>83.379166666666663</v>
      </c>
      <c r="B285">
        <v>282</v>
      </c>
      <c r="C285">
        <v>8.3819999700000007</v>
      </c>
      <c r="D285">
        <v>8676.1572269999997</v>
      </c>
      <c r="E285">
        <v>164</v>
      </c>
      <c r="F285">
        <v>8690</v>
      </c>
    </row>
    <row r="286" spans="1:6">
      <c r="A286" s="89">
        <v>83.379861111111111</v>
      </c>
      <c r="B286">
        <v>283</v>
      </c>
      <c r="C286">
        <v>8.1029996900000008</v>
      </c>
      <c r="D286">
        <v>8706.1738280000009</v>
      </c>
      <c r="E286">
        <v>148.19999999999999</v>
      </c>
      <c r="F286">
        <v>9023</v>
      </c>
    </row>
    <row r="287" spans="1:6">
      <c r="A287" s="89">
        <v>83.38055555555556</v>
      </c>
      <c r="B287">
        <v>284</v>
      </c>
      <c r="C287">
        <v>7.9699997900000001</v>
      </c>
      <c r="D287">
        <v>8706.1738280000009</v>
      </c>
      <c r="E287">
        <v>142.69999999999999</v>
      </c>
      <c r="F287">
        <v>8953</v>
      </c>
    </row>
    <row r="288" spans="1:6">
      <c r="A288" s="89">
        <v>83.381250000000009</v>
      </c>
      <c r="B288">
        <v>285</v>
      </c>
      <c r="C288">
        <v>7.8249998099999996</v>
      </c>
      <c r="D288">
        <v>8706.1738280000009</v>
      </c>
      <c r="E288">
        <v>153.10001</v>
      </c>
      <c r="F288">
        <v>8557</v>
      </c>
    </row>
    <row r="289" spans="1:6">
      <c r="A289" s="89">
        <v>83.381944444444443</v>
      </c>
      <c r="B289">
        <v>286</v>
      </c>
      <c r="C289">
        <v>10.1829996</v>
      </c>
      <c r="D289">
        <v>8700.9121090000008</v>
      </c>
      <c r="E289">
        <v>136.19999999999999</v>
      </c>
      <c r="F289">
        <v>8655</v>
      </c>
    </row>
    <row r="290" spans="1:6">
      <c r="A290" s="89">
        <v>83.382638888888891</v>
      </c>
      <c r="B290">
        <v>287</v>
      </c>
      <c r="C290">
        <v>8.4479999499999998</v>
      </c>
      <c r="D290">
        <v>8700.9121090000008</v>
      </c>
      <c r="E290">
        <v>126.3</v>
      </c>
      <c r="F290">
        <v>8677</v>
      </c>
    </row>
    <row r="291" spans="1:6">
      <c r="A291" s="89">
        <v>83.38333333333334</v>
      </c>
      <c r="B291">
        <v>288</v>
      </c>
      <c r="C291">
        <v>7.5920000099999996</v>
      </c>
      <c r="D291">
        <v>8700.9121090000008</v>
      </c>
      <c r="E291">
        <v>113.1</v>
      </c>
      <c r="F291">
        <v>8585</v>
      </c>
    </row>
    <row r="292" spans="1:6">
      <c r="A292" s="89">
        <v>83.417361111111106</v>
      </c>
      <c r="B292">
        <v>289</v>
      </c>
      <c r="C292">
        <v>7.6760001200000003</v>
      </c>
      <c r="D292">
        <v>8803.4384769999997</v>
      </c>
      <c r="E292">
        <v>113.9</v>
      </c>
      <c r="F292">
        <v>8172</v>
      </c>
    </row>
    <row r="293" spans="1:6">
      <c r="A293" s="89">
        <v>83.418055555555554</v>
      </c>
      <c r="B293">
        <v>290</v>
      </c>
      <c r="C293">
        <v>7.9010000199999997</v>
      </c>
      <c r="D293">
        <v>8803.4384769999997</v>
      </c>
      <c r="E293">
        <v>113</v>
      </c>
      <c r="F293">
        <v>8630</v>
      </c>
    </row>
    <row r="294" spans="1:6">
      <c r="A294" s="89">
        <v>83.418750000000003</v>
      </c>
      <c r="B294">
        <v>291</v>
      </c>
      <c r="C294">
        <v>8.1440000500000007</v>
      </c>
      <c r="D294">
        <v>8803.4384769999997</v>
      </c>
      <c r="E294">
        <v>124.1</v>
      </c>
      <c r="F294">
        <v>8655</v>
      </c>
    </row>
    <row r="295" spans="1:6">
      <c r="A295" s="89">
        <v>83.419444444444437</v>
      </c>
      <c r="B295">
        <v>292</v>
      </c>
      <c r="C295">
        <v>8.47099972</v>
      </c>
      <c r="D295">
        <v>8913.7285159999992</v>
      </c>
      <c r="E295">
        <v>140.69999999999999</v>
      </c>
      <c r="F295">
        <v>8743</v>
      </c>
    </row>
    <row r="296" spans="1:6">
      <c r="A296" s="89">
        <v>83.420138888888886</v>
      </c>
      <c r="B296">
        <v>293</v>
      </c>
      <c r="C296">
        <v>7.7789998100000002</v>
      </c>
      <c r="D296">
        <v>8913.7285159999992</v>
      </c>
      <c r="E296">
        <v>142.10001</v>
      </c>
      <c r="F296">
        <v>9071</v>
      </c>
    </row>
    <row r="297" spans="1:6">
      <c r="A297" s="89">
        <v>83.420833333333334</v>
      </c>
      <c r="B297">
        <v>294</v>
      </c>
      <c r="C297">
        <v>7.9689998600000003</v>
      </c>
      <c r="D297">
        <v>8913.7285159999992</v>
      </c>
      <c r="E297">
        <v>140.39999</v>
      </c>
      <c r="F297">
        <v>9176</v>
      </c>
    </row>
    <row r="298" spans="1:6">
      <c r="A298" s="89">
        <v>83.421527777777769</v>
      </c>
      <c r="B298">
        <v>295</v>
      </c>
      <c r="C298">
        <v>8.8030004500000008</v>
      </c>
      <c r="D298">
        <v>8992.3535159999992</v>
      </c>
      <c r="E298">
        <v>141.19999999999999</v>
      </c>
      <c r="F298">
        <v>9128</v>
      </c>
    </row>
    <row r="299" spans="1:6">
      <c r="A299" s="89">
        <v>83.422222222222231</v>
      </c>
      <c r="B299">
        <v>296</v>
      </c>
      <c r="C299">
        <v>8.7250003800000009</v>
      </c>
      <c r="D299">
        <v>8992.3535159999992</v>
      </c>
      <c r="E299">
        <v>142.30000000000001</v>
      </c>
      <c r="F299">
        <v>9294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82A1C-7022-4669-8383-F8428EB6AE42}">
  <dimension ref="A1:N207"/>
  <sheetViews>
    <sheetView topLeftCell="A199" workbookViewId="0">
      <selection activeCell="N207" sqref="N207"/>
    </sheetView>
  </sheetViews>
  <sheetFormatPr defaultRowHeight="15"/>
  <sheetData>
    <row r="1" spans="1:14">
      <c r="A1" t="s">
        <v>1159</v>
      </c>
    </row>
    <row r="3" spans="1:14">
      <c r="A3" t="s">
        <v>63</v>
      </c>
      <c r="B3" t="s">
        <v>1160</v>
      </c>
      <c r="C3" t="s">
        <v>1161</v>
      </c>
      <c r="D3" t="s">
        <v>1162</v>
      </c>
      <c r="E3" t="s">
        <v>1163</v>
      </c>
      <c r="F3" t="s">
        <v>1164</v>
      </c>
      <c r="G3" t="s">
        <v>1165</v>
      </c>
      <c r="H3" t="s">
        <v>1166</v>
      </c>
      <c r="I3" t="s">
        <v>109</v>
      </c>
      <c r="J3" t="s">
        <v>1167</v>
      </c>
      <c r="K3" t="s">
        <v>1168</v>
      </c>
      <c r="L3" t="s">
        <v>998</v>
      </c>
      <c r="M3" t="s">
        <v>1169</v>
      </c>
      <c r="N3" t="s">
        <v>1170</v>
      </c>
    </row>
    <row r="4" spans="1:14">
      <c r="A4">
        <v>1950</v>
      </c>
      <c r="B4">
        <v>1</v>
      </c>
      <c r="C4">
        <v>1610.5</v>
      </c>
      <c r="D4">
        <v>1058.9000000000001</v>
      </c>
      <c r="E4">
        <v>198.1</v>
      </c>
      <c r="F4">
        <v>361</v>
      </c>
      <c r="G4">
        <v>1186.0999999999999</v>
      </c>
      <c r="H4">
        <v>70.599999999999994</v>
      </c>
      <c r="I4">
        <v>110.2</v>
      </c>
      <c r="J4">
        <v>1.1200000000000001</v>
      </c>
      <c r="K4">
        <v>6.4</v>
      </c>
      <c r="L4">
        <v>149.46100000000001</v>
      </c>
      <c r="M4">
        <v>0</v>
      </c>
      <c r="N4">
        <v>0</v>
      </c>
    </row>
    <row r="5" spans="1:14">
      <c r="A5">
        <v>1950</v>
      </c>
      <c r="B5">
        <v>2</v>
      </c>
      <c r="C5">
        <v>1658.8</v>
      </c>
      <c r="D5">
        <v>1075.9000000000001</v>
      </c>
      <c r="E5">
        <v>220.4</v>
      </c>
      <c r="F5">
        <v>366.4</v>
      </c>
      <c r="G5">
        <v>1178.0999999999999</v>
      </c>
      <c r="H5">
        <v>71.400000000000006</v>
      </c>
      <c r="I5">
        <v>111.75</v>
      </c>
      <c r="J5">
        <v>1.17</v>
      </c>
      <c r="K5">
        <v>5.6</v>
      </c>
      <c r="L5">
        <v>150.26</v>
      </c>
      <c r="M5">
        <v>4.5071000000000003</v>
      </c>
      <c r="N5">
        <v>-3.3403999999999998</v>
      </c>
    </row>
    <row r="6" spans="1:14">
      <c r="A6">
        <v>1950</v>
      </c>
      <c r="B6">
        <v>3</v>
      </c>
      <c r="C6">
        <v>1723</v>
      </c>
      <c r="D6">
        <v>1131</v>
      </c>
      <c r="E6">
        <v>239.7</v>
      </c>
      <c r="F6">
        <v>359.6</v>
      </c>
      <c r="G6">
        <v>1196.5</v>
      </c>
      <c r="H6">
        <v>73.2</v>
      </c>
      <c r="I6">
        <v>112.95</v>
      </c>
      <c r="J6">
        <v>1.23</v>
      </c>
      <c r="K6">
        <v>4.5999999999999996</v>
      </c>
      <c r="L6">
        <v>151.06399999999999</v>
      </c>
      <c r="M6">
        <v>9.9589999999999996</v>
      </c>
      <c r="N6">
        <v>-8.7289999999999992</v>
      </c>
    </row>
    <row r="7" spans="1:14">
      <c r="A7">
        <v>1950</v>
      </c>
      <c r="B7">
        <v>4</v>
      </c>
      <c r="C7">
        <v>1753.9</v>
      </c>
      <c r="D7">
        <v>1097.5999999999999</v>
      </c>
      <c r="E7">
        <v>271.8</v>
      </c>
      <c r="F7">
        <v>382.5</v>
      </c>
      <c r="G7">
        <v>1210</v>
      </c>
      <c r="H7">
        <v>74.900000000000006</v>
      </c>
      <c r="I7">
        <v>113.93</v>
      </c>
      <c r="J7">
        <v>1.35</v>
      </c>
      <c r="K7">
        <v>4.2</v>
      </c>
      <c r="L7">
        <v>151.87100000000001</v>
      </c>
      <c r="M7">
        <v>9.1834000000000007</v>
      </c>
      <c r="N7">
        <v>-7.8300999999999998</v>
      </c>
    </row>
    <row r="8" spans="1:14">
      <c r="A8">
        <v>1951</v>
      </c>
      <c r="B8">
        <v>1</v>
      </c>
      <c r="C8">
        <v>1773.5</v>
      </c>
      <c r="D8">
        <v>1122.8</v>
      </c>
      <c r="E8">
        <v>242.9</v>
      </c>
      <c r="F8">
        <v>421.9</v>
      </c>
      <c r="G8">
        <v>1207.9000000000001</v>
      </c>
      <c r="H8">
        <v>77.3</v>
      </c>
      <c r="I8">
        <v>115.08</v>
      </c>
      <c r="J8">
        <v>1.4</v>
      </c>
      <c r="K8">
        <v>3.5</v>
      </c>
      <c r="L8">
        <v>152.393</v>
      </c>
      <c r="M8">
        <v>12.616</v>
      </c>
      <c r="N8">
        <v>-11.215999999999999</v>
      </c>
    </row>
    <row r="9" spans="1:14">
      <c r="A9">
        <v>1951</v>
      </c>
      <c r="B9">
        <v>2</v>
      </c>
      <c r="C9">
        <v>1803.7</v>
      </c>
      <c r="D9">
        <v>1091.4000000000001</v>
      </c>
      <c r="E9">
        <v>249.2</v>
      </c>
      <c r="F9">
        <v>480.1</v>
      </c>
      <c r="G9">
        <v>1225.8</v>
      </c>
      <c r="H9">
        <v>77.599999999999994</v>
      </c>
      <c r="I9">
        <v>116.19</v>
      </c>
      <c r="J9">
        <v>1.53</v>
      </c>
      <c r="K9">
        <v>3.1</v>
      </c>
      <c r="L9">
        <v>152.917</v>
      </c>
      <c r="M9">
        <v>1.5494000000000001</v>
      </c>
      <c r="N9">
        <v>-1.61E-2</v>
      </c>
    </row>
    <row r="10" spans="1:14">
      <c r="A10">
        <v>1951</v>
      </c>
      <c r="B10">
        <v>3</v>
      </c>
      <c r="C10">
        <v>1839.8</v>
      </c>
      <c r="D10">
        <v>1103.9000000000001</v>
      </c>
      <c r="E10">
        <v>230.1</v>
      </c>
      <c r="F10">
        <v>534.20000000000005</v>
      </c>
      <c r="G10">
        <v>1235.8</v>
      </c>
      <c r="H10">
        <v>78.2</v>
      </c>
      <c r="I10">
        <v>117.76</v>
      </c>
      <c r="J10">
        <v>1.63</v>
      </c>
      <c r="K10">
        <v>3.2</v>
      </c>
      <c r="L10">
        <v>153.44300000000001</v>
      </c>
      <c r="M10">
        <v>3.0809000000000002</v>
      </c>
      <c r="N10">
        <v>-1.4541999999999999</v>
      </c>
    </row>
    <row r="11" spans="1:14">
      <c r="A11">
        <v>1951</v>
      </c>
      <c r="B11">
        <v>4</v>
      </c>
      <c r="C11">
        <v>1843.3</v>
      </c>
      <c r="D11">
        <v>1110.5</v>
      </c>
      <c r="E11">
        <v>210.6</v>
      </c>
      <c r="F11">
        <v>563.70000000000005</v>
      </c>
      <c r="G11">
        <v>1238.5</v>
      </c>
      <c r="H11">
        <v>79.3</v>
      </c>
      <c r="I11">
        <v>119.89</v>
      </c>
      <c r="J11">
        <v>1.65</v>
      </c>
      <c r="K11">
        <v>3.4</v>
      </c>
      <c r="L11">
        <v>153.97</v>
      </c>
      <c r="M11">
        <v>5.5873999999999997</v>
      </c>
      <c r="N11">
        <v>-3.9373999999999998</v>
      </c>
    </row>
    <row r="12" spans="1:14">
      <c r="A12">
        <v>1952</v>
      </c>
      <c r="B12">
        <v>1</v>
      </c>
      <c r="C12">
        <v>1864.7</v>
      </c>
      <c r="D12">
        <v>1113.5999999999999</v>
      </c>
      <c r="E12">
        <v>215.6</v>
      </c>
      <c r="F12">
        <v>584.79999999999995</v>
      </c>
      <c r="G12">
        <v>1238.5</v>
      </c>
      <c r="H12">
        <v>78.8</v>
      </c>
      <c r="I12">
        <v>121.31</v>
      </c>
      <c r="J12">
        <v>1.64</v>
      </c>
      <c r="K12">
        <v>3.1</v>
      </c>
      <c r="L12">
        <v>154.566</v>
      </c>
      <c r="M12">
        <v>-2.5301</v>
      </c>
      <c r="N12">
        <v>4.1700999999999997</v>
      </c>
    </row>
    <row r="13" spans="1:14">
      <c r="A13">
        <v>1952</v>
      </c>
      <c r="B13">
        <v>2</v>
      </c>
      <c r="C13">
        <v>1866.2</v>
      </c>
      <c r="D13">
        <v>1135.0999999999999</v>
      </c>
      <c r="E13">
        <v>197.7</v>
      </c>
      <c r="F13">
        <v>604.4</v>
      </c>
      <c r="G13">
        <v>1252</v>
      </c>
      <c r="H13">
        <v>79.400000000000006</v>
      </c>
      <c r="I13">
        <v>122.37</v>
      </c>
      <c r="J13">
        <v>1.68</v>
      </c>
      <c r="K13">
        <v>3</v>
      </c>
      <c r="L13">
        <v>155.16499999999999</v>
      </c>
      <c r="M13">
        <v>3.0341</v>
      </c>
      <c r="N13">
        <v>-1.3574999999999999</v>
      </c>
    </row>
    <row r="14" spans="1:14">
      <c r="A14">
        <v>1952</v>
      </c>
      <c r="B14">
        <v>3</v>
      </c>
      <c r="C14">
        <v>1878</v>
      </c>
      <c r="D14">
        <v>1140.4000000000001</v>
      </c>
      <c r="E14">
        <v>207.8</v>
      </c>
      <c r="F14">
        <v>610.5</v>
      </c>
      <c r="G14">
        <v>1276.0999999999999</v>
      </c>
      <c r="H14">
        <v>80</v>
      </c>
      <c r="I14">
        <v>123.64</v>
      </c>
      <c r="J14">
        <v>1.83</v>
      </c>
      <c r="K14">
        <v>3.2</v>
      </c>
      <c r="L14">
        <v>155.76599999999999</v>
      </c>
      <c r="M14">
        <v>3.0112999999999999</v>
      </c>
      <c r="N14">
        <v>-1.1813</v>
      </c>
    </row>
    <row r="15" spans="1:14">
      <c r="A15">
        <v>1952</v>
      </c>
      <c r="B15">
        <v>4</v>
      </c>
      <c r="C15">
        <v>1940.2</v>
      </c>
      <c r="D15">
        <v>1180.5</v>
      </c>
      <c r="E15">
        <v>223.3</v>
      </c>
      <c r="F15">
        <v>620.79999999999995</v>
      </c>
      <c r="G15">
        <v>1300.5</v>
      </c>
      <c r="H15">
        <v>80</v>
      </c>
      <c r="I15">
        <v>124.72</v>
      </c>
      <c r="J15">
        <v>1.92</v>
      </c>
      <c r="K15">
        <v>2.8</v>
      </c>
      <c r="L15">
        <v>156.369</v>
      </c>
      <c r="M15">
        <v>0</v>
      </c>
      <c r="N15">
        <v>1.9233</v>
      </c>
    </row>
    <row r="16" spans="1:14">
      <c r="A16">
        <v>1953</v>
      </c>
      <c r="B16">
        <v>1</v>
      </c>
      <c r="C16">
        <v>1976</v>
      </c>
      <c r="D16">
        <v>1194.9000000000001</v>
      </c>
      <c r="E16">
        <v>227.5</v>
      </c>
      <c r="F16">
        <v>641.20000000000005</v>
      </c>
      <c r="G16">
        <v>1317.5</v>
      </c>
      <c r="H16">
        <v>79.599999999999994</v>
      </c>
      <c r="I16">
        <v>125.33</v>
      </c>
      <c r="J16">
        <v>2.0499999999999998</v>
      </c>
      <c r="K16">
        <v>2.7</v>
      </c>
      <c r="L16">
        <v>157.00899999999999</v>
      </c>
      <c r="M16">
        <v>-2.0049999999999999</v>
      </c>
      <c r="N16">
        <v>4.0517000000000003</v>
      </c>
    </row>
    <row r="17" spans="1:14">
      <c r="A17">
        <v>1953</v>
      </c>
      <c r="B17">
        <v>2</v>
      </c>
      <c r="C17">
        <v>1992.2</v>
      </c>
      <c r="D17">
        <v>1202.5</v>
      </c>
      <c r="E17">
        <v>228.5</v>
      </c>
      <c r="F17">
        <v>655.9</v>
      </c>
      <c r="G17">
        <v>1336.3</v>
      </c>
      <c r="H17">
        <v>80.2</v>
      </c>
      <c r="I17">
        <v>126.05</v>
      </c>
      <c r="J17">
        <v>2.2000000000000002</v>
      </c>
      <c r="K17">
        <v>2.6</v>
      </c>
      <c r="L17">
        <v>157.65199999999999</v>
      </c>
      <c r="M17">
        <v>3.0038</v>
      </c>
      <c r="N17">
        <v>-0.8004</v>
      </c>
    </row>
    <row r="18" spans="1:14">
      <c r="A18">
        <v>1953</v>
      </c>
      <c r="B18">
        <v>3</v>
      </c>
      <c r="C18">
        <v>1979.5</v>
      </c>
      <c r="D18">
        <v>1199.8</v>
      </c>
      <c r="E18">
        <v>222.8</v>
      </c>
      <c r="F18">
        <v>647.6</v>
      </c>
      <c r="G18">
        <v>1330.2</v>
      </c>
      <c r="H18">
        <v>80.7</v>
      </c>
      <c r="I18">
        <v>126.22</v>
      </c>
      <c r="J18">
        <v>2.02</v>
      </c>
      <c r="K18">
        <v>2.7</v>
      </c>
      <c r="L18">
        <v>158.298</v>
      </c>
      <c r="M18">
        <v>2.4860000000000002</v>
      </c>
      <c r="N18">
        <v>-0.4627</v>
      </c>
    </row>
    <row r="19" spans="1:14">
      <c r="A19">
        <v>1953</v>
      </c>
      <c r="B19">
        <v>4</v>
      </c>
      <c r="C19">
        <v>1947.8</v>
      </c>
      <c r="D19">
        <v>1191.8</v>
      </c>
      <c r="E19">
        <v>205</v>
      </c>
      <c r="F19">
        <v>645.4</v>
      </c>
      <c r="G19">
        <v>1325.9</v>
      </c>
      <c r="H19">
        <v>80.5</v>
      </c>
      <c r="I19">
        <v>126.37</v>
      </c>
      <c r="J19">
        <v>1.49</v>
      </c>
      <c r="K19">
        <v>3.7</v>
      </c>
      <c r="L19">
        <v>158.946</v>
      </c>
      <c r="M19">
        <v>-0.99260000000000004</v>
      </c>
      <c r="N19">
        <v>2.4792000000000001</v>
      </c>
    </row>
    <row r="20" spans="1:14">
      <c r="A20">
        <v>1954</v>
      </c>
      <c r="B20">
        <v>1</v>
      </c>
      <c r="C20">
        <v>1938.1</v>
      </c>
      <c r="D20">
        <v>1196.2</v>
      </c>
      <c r="E20">
        <v>203.4</v>
      </c>
      <c r="F20">
        <v>627.1</v>
      </c>
      <c r="G20">
        <v>1330.3</v>
      </c>
      <c r="H20">
        <v>80.5</v>
      </c>
      <c r="I20">
        <v>126.54</v>
      </c>
      <c r="J20">
        <v>1.08</v>
      </c>
      <c r="K20">
        <v>5.3</v>
      </c>
      <c r="L20">
        <v>159.67500000000001</v>
      </c>
      <c r="M20">
        <v>0</v>
      </c>
      <c r="N20">
        <v>1.08</v>
      </c>
    </row>
    <row r="21" spans="1:14">
      <c r="A21">
        <v>1954</v>
      </c>
      <c r="B21">
        <v>2</v>
      </c>
      <c r="C21">
        <v>1941</v>
      </c>
      <c r="D21">
        <v>1211.3</v>
      </c>
      <c r="E21">
        <v>203</v>
      </c>
      <c r="F21">
        <v>606.1</v>
      </c>
      <c r="G21">
        <v>1327.9</v>
      </c>
      <c r="H21">
        <v>80.7</v>
      </c>
      <c r="I21">
        <v>127.18</v>
      </c>
      <c r="J21">
        <v>0.81</v>
      </c>
      <c r="K21">
        <v>5.8</v>
      </c>
      <c r="L21">
        <v>160.40700000000001</v>
      </c>
      <c r="M21">
        <v>0.99260000000000004</v>
      </c>
      <c r="N21">
        <v>-0.1792</v>
      </c>
    </row>
    <row r="22" spans="1:14">
      <c r="A22">
        <v>1954</v>
      </c>
      <c r="B22">
        <v>3</v>
      </c>
      <c r="C22">
        <v>1962</v>
      </c>
      <c r="D22">
        <v>1227.3</v>
      </c>
      <c r="E22">
        <v>213.3</v>
      </c>
      <c r="F22">
        <v>591.20000000000005</v>
      </c>
      <c r="G22">
        <v>1344.2</v>
      </c>
      <c r="H22">
        <v>80.400000000000006</v>
      </c>
      <c r="I22">
        <v>128.38</v>
      </c>
      <c r="J22">
        <v>0.87</v>
      </c>
      <c r="K22">
        <v>6</v>
      </c>
      <c r="L22">
        <v>161.142</v>
      </c>
      <c r="M22">
        <v>-1.4898</v>
      </c>
      <c r="N22">
        <v>2.3597999999999999</v>
      </c>
    </row>
    <row r="23" spans="1:14">
      <c r="A23">
        <v>1954</v>
      </c>
      <c r="B23">
        <v>4</v>
      </c>
      <c r="C23">
        <v>2000.9</v>
      </c>
      <c r="D23">
        <v>1252.5999999999999</v>
      </c>
      <c r="E23">
        <v>223.3</v>
      </c>
      <c r="F23">
        <v>587.4</v>
      </c>
      <c r="G23">
        <v>1373.6</v>
      </c>
      <c r="H23">
        <v>80.099999999999994</v>
      </c>
      <c r="I23">
        <v>129.72</v>
      </c>
      <c r="J23">
        <v>1.04</v>
      </c>
      <c r="K23">
        <v>5.3</v>
      </c>
      <c r="L23">
        <v>161.881</v>
      </c>
      <c r="M23">
        <v>-1.4953000000000001</v>
      </c>
      <c r="N23">
        <v>2.532</v>
      </c>
    </row>
    <row r="24" spans="1:14">
      <c r="A24">
        <v>1955</v>
      </c>
      <c r="B24">
        <v>1</v>
      </c>
      <c r="C24">
        <v>2058.1</v>
      </c>
      <c r="D24">
        <v>1280.0999999999999</v>
      </c>
      <c r="E24">
        <v>247.2</v>
      </c>
      <c r="F24">
        <v>586.4</v>
      </c>
      <c r="G24">
        <v>1392.7</v>
      </c>
      <c r="H24">
        <v>80.099999999999994</v>
      </c>
      <c r="I24">
        <v>131.07</v>
      </c>
      <c r="J24">
        <v>1.26</v>
      </c>
      <c r="K24">
        <v>4.7</v>
      </c>
      <c r="L24">
        <v>162.66900000000001</v>
      </c>
      <c r="M24">
        <v>0</v>
      </c>
      <c r="N24">
        <v>1.2566999999999999</v>
      </c>
    </row>
    <row r="25" spans="1:14">
      <c r="A25">
        <v>1955</v>
      </c>
      <c r="B25">
        <v>2</v>
      </c>
      <c r="C25">
        <v>2091</v>
      </c>
      <c r="D25">
        <v>1304.3</v>
      </c>
      <c r="E25">
        <v>262.8</v>
      </c>
      <c r="F25">
        <v>579.9</v>
      </c>
      <c r="G25">
        <v>1423.3</v>
      </c>
      <c r="H25">
        <v>80.099999999999994</v>
      </c>
      <c r="I25">
        <v>131.88</v>
      </c>
      <c r="J25">
        <v>1.51</v>
      </c>
      <c r="K25">
        <v>4.4000000000000004</v>
      </c>
      <c r="L25">
        <v>163.46199999999999</v>
      </c>
      <c r="M25">
        <v>0</v>
      </c>
      <c r="N25">
        <v>1.5133000000000001</v>
      </c>
    </row>
    <row r="26" spans="1:14">
      <c r="A26">
        <v>1955</v>
      </c>
      <c r="B26">
        <v>3</v>
      </c>
      <c r="C26">
        <v>2118.9</v>
      </c>
      <c r="D26">
        <v>1320.3</v>
      </c>
      <c r="E26">
        <v>266.39999999999998</v>
      </c>
      <c r="F26">
        <v>584</v>
      </c>
      <c r="G26">
        <v>1451.1</v>
      </c>
      <c r="H26">
        <v>80.5</v>
      </c>
      <c r="I26">
        <v>132.4</v>
      </c>
      <c r="J26">
        <v>1.86</v>
      </c>
      <c r="K26">
        <v>4.0999999999999996</v>
      </c>
      <c r="L26">
        <v>164.25800000000001</v>
      </c>
      <c r="M26">
        <v>1.9924999999999999</v>
      </c>
      <c r="N26">
        <v>-0.12920000000000001</v>
      </c>
    </row>
    <row r="27" spans="1:14">
      <c r="A27">
        <v>1955</v>
      </c>
      <c r="B27">
        <v>4</v>
      </c>
      <c r="C27">
        <v>2130.1</v>
      </c>
      <c r="D27">
        <v>1336.7</v>
      </c>
      <c r="E27">
        <v>272</v>
      </c>
      <c r="F27">
        <v>571.29999999999995</v>
      </c>
      <c r="G27">
        <v>1468.1</v>
      </c>
      <c r="H27">
        <v>80.400000000000006</v>
      </c>
      <c r="I27">
        <v>132.63999999999999</v>
      </c>
      <c r="J27">
        <v>2.35</v>
      </c>
      <c r="K27">
        <v>4.2</v>
      </c>
      <c r="L27">
        <v>165.05799999999999</v>
      </c>
      <c r="M27">
        <v>-0.49719999999999998</v>
      </c>
      <c r="N27">
        <v>2.8439000000000001</v>
      </c>
    </row>
    <row r="28" spans="1:14">
      <c r="A28">
        <v>1956</v>
      </c>
      <c r="B28">
        <v>1</v>
      </c>
      <c r="C28">
        <v>2121</v>
      </c>
      <c r="D28">
        <v>1339.2</v>
      </c>
      <c r="E28">
        <v>262.89999999999998</v>
      </c>
      <c r="F28">
        <v>570.9</v>
      </c>
      <c r="G28">
        <v>1480.9</v>
      </c>
      <c r="H28">
        <v>80.400000000000006</v>
      </c>
      <c r="I28">
        <v>133.11000000000001</v>
      </c>
      <c r="J28">
        <v>2.38</v>
      </c>
      <c r="K28">
        <v>4</v>
      </c>
      <c r="L28">
        <v>165.80799999999999</v>
      </c>
      <c r="M28">
        <v>0</v>
      </c>
      <c r="N28">
        <v>2.38</v>
      </c>
    </row>
    <row r="29" spans="1:14">
      <c r="A29">
        <v>1956</v>
      </c>
      <c r="B29">
        <v>2</v>
      </c>
      <c r="C29">
        <v>2137.6999999999998</v>
      </c>
      <c r="D29">
        <v>1343.7</v>
      </c>
      <c r="E29">
        <v>260</v>
      </c>
      <c r="F29">
        <v>582.6</v>
      </c>
      <c r="G29">
        <v>1497.8</v>
      </c>
      <c r="H29">
        <v>81.400000000000006</v>
      </c>
      <c r="I29">
        <v>133.38</v>
      </c>
      <c r="J29">
        <v>2.6</v>
      </c>
      <c r="K29">
        <v>4.2</v>
      </c>
      <c r="L29">
        <v>166.56100000000001</v>
      </c>
      <c r="M29">
        <v>4.9443999999999999</v>
      </c>
      <c r="N29">
        <v>-2.3477999999999999</v>
      </c>
    </row>
    <row r="30" spans="1:14">
      <c r="A30">
        <v>1956</v>
      </c>
      <c r="B30">
        <v>3</v>
      </c>
      <c r="C30">
        <v>2135.3000000000002</v>
      </c>
      <c r="D30">
        <v>1346.8</v>
      </c>
      <c r="E30">
        <v>257.10000000000002</v>
      </c>
      <c r="F30">
        <v>577.29999999999995</v>
      </c>
      <c r="G30">
        <v>1504.1</v>
      </c>
      <c r="H30">
        <v>82</v>
      </c>
      <c r="I30">
        <v>133.47999999999999</v>
      </c>
      <c r="J30">
        <v>2.6</v>
      </c>
      <c r="K30">
        <v>4.0999999999999996</v>
      </c>
      <c r="L30">
        <v>167.31800000000001</v>
      </c>
      <c r="M30">
        <v>2.9376000000000002</v>
      </c>
      <c r="N30">
        <v>-0.34089999999999998</v>
      </c>
    </row>
    <row r="31" spans="1:14">
      <c r="A31">
        <v>1956</v>
      </c>
      <c r="B31">
        <v>4</v>
      </c>
      <c r="C31">
        <v>2170.4</v>
      </c>
      <c r="D31">
        <v>1365.3</v>
      </c>
      <c r="E31">
        <v>254.4</v>
      </c>
      <c r="F31">
        <v>592.5</v>
      </c>
      <c r="G31">
        <v>1526.5</v>
      </c>
      <c r="H31">
        <v>82.7</v>
      </c>
      <c r="I31">
        <v>134.09</v>
      </c>
      <c r="J31">
        <v>3.06</v>
      </c>
      <c r="K31">
        <v>4.0999999999999996</v>
      </c>
      <c r="L31">
        <v>168.078</v>
      </c>
      <c r="M31">
        <v>3.4001000000000001</v>
      </c>
      <c r="N31">
        <v>-0.33679999999999999</v>
      </c>
    </row>
    <row r="32" spans="1:14">
      <c r="A32">
        <v>1957</v>
      </c>
      <c r="B32">
        <v>1</v>
      </c>
      <c r="C32">
        <v>2182.6999999999998</v>
      </c>
      <c r="D32">
        <v>1374.2</v>
      </c>
      <c r="E32">
        <v>250</v>
      </c>
      <c r="F32">
        <v>604</v>
      </c>
      <c r="G32">
        <v>1527.5</v>
      </c>
      <c r="H32">
        <v>83.3</v>
      </c>
      <c r="I32">
        <v>134.29</v>
      </c>
      <c r="J32">
        <v>3.17</v>
      </c>
      <c r="K32">
        <v>3.9</v>
      </c>
      <c r="L32">
        <v>168.84800000000001</v>
      </c>
      <c r="M32">
        <v>2.8915999999999999</v>
      </c>
      <c r="N32">
        <v>0.27839999999999998</v>
      </c>
    </row>
    <row r="33" spans="1:14">
      <c r="A33">
        <v>1957</v>
      </c>
      <c r="B33">
        <v>2</v>
      </c>
      <c r="C33">
        <v>2177.6999999999998</v>
      </c>
      <c r="D33">
        <v>1376.5</v>
      </c>
      <c r="E33">
        <v>249.9</v>
      </c>
      <c r="F33">
        <v>600.6</v>
      </c>
      <c r="G33">
        <v>1538.6</v>
      </c>
      <c r="H33">
        <v>84.3</v>
      </c>
      <c r="I33">
        <v>134.36000000000001</v>
      </c>
      <c r="J33">
        <v>3.16</v>
      </c>
      <c r="K33">
        <v>4.0999999999999996</v>
      </c>
      <c r="L33">
        <v>169.62100000000001</v>
      </c>
      <c r="M33">
        <v>4.7732999999999999</v>
      </c>
      <c r="N33">
        <v>-1.6167</v>
      </c>
    </row>
    <row r="34" spans="1:14">
      <c r="A34">
        <v>1957</v>
      </c>
      <c r="B34">
        <v>3</v>
      </c>
      <c r="C34">
        <v>2198.9</v>
      </c>
      <c r="D34">
        <v>1387.7</v>
      </c>
      <c r="E34">
        <v>255.6</v>
      </c>
      <c r="F34">
        <v>605.5</v>
      </c>
      <c r="G34">
        <v>1548.7</v>
      </c>
      <c r="H34">
        <v>84.9</v>
      </c>
      <c r="I34">
        <v>134.26</v>
      </c>
      <c r="J34">
        <v>3.38</v>
      </c>
      <c r="K34">
        <v>4.2</v>
      </c>
      <c r="L34">
        <v>170.398</v>
      </c>
      <c r="M34">
        <v>2.8369</v>
      </c>
      <c r="N34">
        <v>0.54310000000000003</v>
      </c>
    </row>
    <row r="35" spans="1:14">
      <c r="A35">
        <v>1957</v>
      </c>
      <c r="B35">
        <v>4</v>
      </c>
      <c r="C35">
        <v>2176</v>
      </c>
      <c r="D35">
        <v>1388.8</v>
      </c>
      <c r="E35">
        <v>234.1</v>
      </c>
      <c r="F35">
        <v>616.6</v>
      </c>
      <c r="G35">
        <v>1543.1</v>
      </c>
      <c r="H35">
        <v>85.2</v>
      </c>
      <c r="I35">
        <v>133.47999999999999</v>
      </c>
      <c r="J35">
        <v>3.34</v>
      </c>
      <c r="K35">
        <v>4.9000000000000004</v>
      </c>
      <c r="L35">
        <v>171.178</v>
      </c>
      <c r="M35">
        <v>1.4109</v>
      </c>
      <c r="N35">
        <v>1.9323999999999999</v>
      </c>
    </row>
    <row r="36" spans="1:14">
      <c r="A36">
        <v>1958</v>
      </c>
      <c r="B36">
        <v>1</v>
      </c>
      <c r="C36">
        <v>2117.4</v>
      </c>
      <c r="D36">
        <v>1370.1</v>
      </c>
      <c r="E36">
        <v>216.7</v>
      </c>
      <c r="F36">
        <v>609.6</v>
      </c>
      <c r="G36">
        <v>1524.7</v>
      </c>
      <c r="H36">
        <v>86.4</v>
      </c>
      <c r="I36">
        <v>133.72</v>
      </c>
      <c r="J36">
        <v>1.84</v>
      </c>
      <c r="K36">
        <v>6.3</v>
      </c>
      <c r="L36">
        <v>171.917</v>
      </c>
      <c r="M36">
        <v>5.5945</v>
      </c>
      <c r="N36">
        <v>-3.7578</v>
      </c>
    </row>
    <row r="37" spans="1:14">
      <c r="A37">
        <v>1958</v>
      </c>
      <c r="B37">
        <v>2</v>
      </c>
      <c r="C37">
        <v>2129.6999999999998</v>
      </c>
      <c r="D37">
        <v>1380.9</v>
      </c>
      <c r="E37">
        <v>211.3</v>
      </c>
      <c r="F37">
        <v>625</v>
      </c>
      <c r="G37">
        <v>1534.1</v>
      </c>
      <c r="H37">
        <v>86.7</v>
      </c>
      <c r="I37">
        <v>135.22</v>
      </c>
      <c r="J37">
        <v>1.02</v>
      </c>
      <c r="K37">
        <v>7.4</v>
      </c>
      <c r="L37">
        <v>172.65899999999999</v>
      </c>
      <c r="M37">
        <v>1.3865000000000001</v>
      </c>
      <c r="N37">
        <v>-0.36649999999999999</v>
      </c>
    </row>
    <row r="38" spans="1:14">
      <c r="A38">
        <v>1958</v>
      </c>
      <c r="B38">
        <v>3</v>
      </c>
      <c r="C38">
        <v>2177.5</v>
      </c>
      <c r="D38">
        <v>1402.3</v>
      </c>
      <c r="E38">
        <v>228.4</v>
      </c>
      <c r="F38">
        <v>628.4</v>
      </c>
      <c r="G38">
        <v>1568.1</v>
      </c>
      <c r="H38">
        <v>86.7</v>
      </c>
      <c r="I38">
        <v>136.63999999999999</v>
      </c>
      <c r="J38">
        <v>1.71</v>
      </c>
      <c r="K38">
        <v>7.3</v>
      </c>
      <c r="L38">
        <v>173.404</v>
      </c>
      <c r="M38">
        <v>0</v>
      </c>
      <c r="N38">
        <v>1.71</v>
      </c>
    </row>
    <row r="39" spans="1:14">
      <c r="A39">
        <v>1958</v>
      </c>
      <c r="B39">
        <v>4</v>
      </c>
      <c r="C39">
        <v>2226.5</v>
      </c>
      <c r="D39">
        <v>1418.8</v>
      </c>
      <c r="E39">
        <v>249.6</v>
      </c>
      <c r="F39">
        <v>641.5</v>
      </c>
      <c r="G39">
        <v>1588</v>
      </c>
      <c r="H39">
        <v>86.7</v>
      </c>
      <c r="I39">
        <v>138.47999999999999</v>
      </c>
      <c r="J39">
        <v>2.79</v>
      </c>
      <c r="K39">
        <v>6.4</v>
      </c>
      <c r="L39">
        <v>174.15299999999999</v>
      </c>
      <c r="M39">
        <v>0</v>
      </c>
      <c r="N39">
        <v>2.7867000000000002</v>
      </c>
    </row>
    <row r="40" spans="1:14">
      <c r="A40">
        <v>1959</v>
      </c>
      <c r="B40">
        <v>1</v>
      </c>
      <c r="C40">
        <v>2273</v>
      </c>
      <c r="D40">
        <v>1445.2</v>
      </c>
      <c r="E40">
        <v>263</v>
      </c>
      <c r="F40">
        <v>651.5</v>
      </c>
      <c r="G40">
        <v>1599.5</v>
      </c>
      <c r="H40">
        <v>86.7</v>
      </c>
      <c r="I40">
        <v>139.69999999999999</v>
      </c>
      <c r="J40">
        <v>2.8</v>
      </c>
      <c r="K40">
        <v>5.8</v>
      </c>
      <c r="L40">
        <v>174.89400000000001</v>
      </c>
      <c r="M40">
        <v>0</v>
      </c>
      <c r="N40">
        <v>2.8</v>
      </c>
    </row>
    <row r="41" spans="1:14">
      <c r="A41">
        <v>1959</v>
      </c>
      <c r="B41">
        <v>2</v>
      </c>
      <c r="C41">
        <v>2332.4</v>
      </c>
      <c r="D41">
        <v>1468.2</v>
      </c>
      <c r="E41">
        <v>286.2</v>
      </c>
      <c r="F41">
        <v>663.9</v>
      </c>
      <c r="G41">
        <v>1629.6</v>
      </c>
      <c r="H41">
        <v>87.3</v>
      </c>
      <c r="I41">
        <v>141.19999999999999</v>
      </c>
      <c r="J41">
        <v>3.02</v>
      </c>
      <c r="K41">
        <v>5.0999999999999996</v>
      </c>
      <c r="L41">
        <v>175.63800000000001</v>
      </c>
      <c r="M41">
        <v>2.7585999999999999</v>
      </c>
      <c r="N41">
        <v>0.26140000000000002</v>
      </c>
    </row>
    <row r="42" spans="1:14">
      <c r="A42">
        <v>1959</v>
      </c>
      <c r="B42">
        <v>3</v>
      </c>
      <c r="C42">
        <v>2331.4</v>
      </c>
      <c r="D42">
        <v>1483.8</v>
      </c>
      <c r="E42">
        <v>266.60000000000002</v>
      </c>
      <c r="F42">
        <v>668.1</v>
      </c>
      <c r="G42">
        <v>1627</v>
      </c>
      <c r="H42">
        <v>87.7</v>
      </c>
      <c r="I42">
        <v>141</v>
      </c>
      <c r="J42">
        <v>3.53</v>
      </c>
      <c r="K42">
        <v>5.3</v>
      </c>
      <c r="L42">
        <v>176.38499999999999</v>
      </c>
      <c r="M42">
        <v>1.8286</v>
      </c>
      <c r="N42">
        <v>1.7048000000000001</v>
      </c>
    </row>
    <row r="43" spans="1:14">
      <c r="A43">
        <v>1959</v>
      </c>
      <c r="B43">
        <v>4</v>
      </c>
      <c r="C43">
        <v>2339.1</v>
      </c>
      <c r="D43">
        <v>1485.6</v>
      </c>
      <c r="E43">
        <v>275.60000000000002</v>
      </c>
      <c r="F43">
        <v>662.2</v>
      </c>
      <c r="G43">
        <v>1639.2</v>
      </c>
      <c r="H43">
        <v>88</v>
      </c>
      <c r="I43">
        <v>140</v>
      </c>
      <c r="J43">
        <v>4.3</v>
      </c>
      <c r="K43">
        <v>5.6</v>
      </c>
      <c r="L43">
        <v>177.136</v>
      </c>
      <c r="M43">
        <v>1.3660000000000001</v>
      </c>
      <c r="N43">
        <v>2.9340000000000002</v>
      </c>
    </row>
    <row r="44" spans="1:14">
      <c r="A44">
        <v>1960</v>
      </c>
      <c r="B44">
        <v>1</v>
      </c>
      <c r="C44">
        <v>2391</v>
      </c>
      <c r="D44">
        <v>1499.2</v>
      </c>
      <c r="E44">
        <v>305.3</v>
      </c>
      <c r="F44">
        <v>648.79999999999995</v>
      </c>
      <c r="G44">
        <v>1657.7</v>
      </c>
      <c r="H44">
        <v>88</v>
      </c>
      <c r="I44">
        <v>139.80000000000001</v>
      </c>
      <c r="J44">
        <v>3.95</v>
      </c>
      <c r="K44">
        <v>5.0999999999999996</v>
      </c>
      <c r="L44">
        <v>177.84100000000001</v>
      </c>
      <c r="M44">
        <v>0</v>
      </c>
      <c r="N44">
        <v>3.9466999999999999</v>
      </c>
    </row>
    <row r="45" spans="1:14">
      <c r="A45">
        <v>1960</v>
      </c>
      <c r="B45">
        <v>2</v>
      </c>
      <c r="C45">
        <v>2379.1999999999998</v>
      </c>
      <c r="D45">
        <v>1518.1</v>
      </c>
      <c r="E45">
        <v>274</v>
      </c>
      <c r="F45">
        <v>657.4</v>
      </c>
      <c r="G45">
        <v>1666.5</v>
      </c>
      <c r="H45">
        <v>88.7</v>
      </c>
      <c r="I45">
        <v>139.6</v>
      </c>
      <c r="J45">
        <v>3.09</v>
      </c>
      <c r="K45">
        <v>5.2</v>
      </c>
      <c r="L45">
        <v>178.548</v>
      </c>
      <c r="M45">
        <v>3.1692</v>
      </c>
      <c r="N45">
        <v>-7.5899999999999995E-2</v>
      </c>
    </row>
    <row r="46" spans="1:14">
      <c r="A46">
        <v>1960</v>
      </c>
      <c r="B46">
        <v>3</v>
      </c>
      <c r="C46">
        <v>2383.6</v>
      </c>
      <c r="D46">
        <v>1512.1</v>
      </c>
      <c r="E46">
        <v>272.39999999999998</v>
      </c>
      <c r="F46">
        <v>665.9</v>
      </c>
      <c r="G46">
        <v>1667.7</v>
      </c>
      <c r="H46">
        <v>88.8</v>
      </c>
      <c r="I46">
        <v>141.19999999999999</v>
      </c>
      <c r="J46">
        <v>2.39</v>
      </c>
      <c r="K46">
        <v>5.5</v>
      </c>
      <c r="L46">
        <v>179.25899999999999</v>
      </c>
      <c r="M46">
        <v>0.45069999999999999</v>
      </c>
      <c r="N46">
        <v>1.9426000000000001</v>
      </c>
    </row>
    <row r="47" spans="1:14">
      <c r="A47">
        <v>1960</v>
      </c>
      <c r="B47">
        <v>4</v>
      </c>
      <c r="C47">
        <v>2352.9</v>
      </c>
      <c r="D47">
        <v>1513.5</v>
      </c>
      <c r="E47">
        <v>239.5</v>
      </c>
      <c r="F47">
        <v>673.1</v>
      </c>
      <c r="G47">
        <v>1667.2</v>
      </c>
      <c r="H47">
        <v>89.3</v>
      </c>
      <c r="I47">
        <v>140.69999999999999</v>
      </c>
      <c r="J47">
        <v>2.36</v>
      </c>
      <c r="K47">
        <v>6.3</v>
      </c>
      <c r="L47">
        <v>179.97200000000001</v>
      </c>
      <c r="M47">
        <v>2.2458999999999998</v>
      </c>
      <c r="N47">
        <v>0.1174</v>
      </c>
    </row>
    <row r="48" spans="1:14">
      <c r="A48">
        <v>1961</v>
      </c>
      <c r="B48">
        <v>1</v>
      </c>
      <c r="C48">
        <v>2366.5</v>
      </c>
      <c r="D48">
        <v>1512.8</v>
      </c>
      <c r="E48">
        <v>245</v>
      </c>
      <c r="F48">
        <v>680.4</v>
      </c>
      <c r="G48">
        <v>1680.6</v>
      </c>
      <c r="H48">
        <v>89.3</v>
      </c>
      <c r="I48">
        <v>141.9</v>
      </c>
      <c r="J48">
        <v>2.38</v>
      </c>
      <c r="K48">
        <v>6.8</v>
      </c>
      <c r="L48">
        <v>180.71799999999999</v>
      </c>
      <c r="M48">
        <v>0</v>
      </c>
      <c r="N48">
        <v>2.3767</v>
      </c>
    </row>
    <row r="49" spans="1:14">
      <c r="A49">
        <v>1961</v>
      </c>
      <c r="B49">
        <v>2</v>
      </c>
      <c r="C49">
        <v>2410.8000000000002</v>
      </c>
      <c r="D49">
        <v>1535.2</v>
      </c>
      <c r="E49">
        <v>263.3</v>
      </c>
      <c r="F49">
        <v>687.2</v>
      </c>
      <c r="G49">
        <v>1705.4</v>
      </c>
      <c r="H49">
        <v>89.4</v>
      </c>
      <c r="I49">
        <v>142.9</v>
      </c>
      <c r="J49">
        <v>2.33</v>
      </c>
      <c r="K49">
        <v>7</v>
      </c>
      <c r="L49">
        <v>181.46799999999999</v>
      </c>
      <c r="M49">
        <v>0.44769999999999999</v>
      </c>
      <c r="N49">
        <v>1.879</v>
      </c>
    </row>
    <row r="50" spans="1:14">
      <c r="A50">
        <v>1961</v>
      </c>
      <c r="B50">
        <v>3</v>
      </c>
      <c r="C50">
        <v>2450.4</v>
      </c>
      <c r="D50">
        <v>1542.9</v>
      </c>
      <c r="E50">
        <v>285.5</v>
      </c>
      <c r="F50">
        <v>694</v>
      </c>
      <c r="G50">
        <v>1729.4</v>
      </c>
      <c r="H50">
        <v>89.9</v>
      </c>
      <c r="I50">
        <v>143.80000000000001</v>
      </c>
      <c r="J50">
        <v>2.3199999999999998</v>
      </c>
      <c r="K50">
        <v>6.8</v>
      </c>
      <c r="L50">
        <v>182.22</v>
      </c>
      <c r="M50">
        <v>2.2309000000000001</v>
      </c>
      <c r="N50">
        <v>9.2399999999999996E-2</v>
      </c>
    </row>
    <row r="51" spans="1:14">
      <c r="A51">
        <v>1961</v>
      </c>
      <c r="B51">
        <v>4</v>
      </c>
      <c r="C51">
        <v>2500.4</v>
      </c>
      <c r="D51">
        <v>1574.2</v>
      </c>
      <c r="E51">
        <v>290.2</v>
      </c>
      <c r="F51">
        <v>711.1</v>
      </c>
      <c r="G51">
        <v>1764.4</v>
      </c>
      <c r="H51">
        <v>89.9</v>
      </c>
      <c r="I51">
        <v>145.19999999999999</v>
      </c>
      <c r="J51">
        <v>2.48</v>
      </c>
      <c r="K51">
        <v>6.2</v>
      </c>
      <c r="L51">
        <v>182.976</v>
      </c>
      <c r="M51">
        <v>0</v>
      </c>
      <c r="N51">
        <v>2.4767000000000001</v>
      </c>
    </row>
    <row r="52" spans="1:14">
      <c r="A52">
        <v>1962</v>
      </c>
      <c r="B52">
        <v>1</v>
      </c>
      <c r="C52">
        <v>2544</v>
      </c>
      <c r="D52">
        <v>1590.6</v>
      </c>
      <c r="E52">
        <v>307.3</v>
      </c>
      <c r="F52">
        <v>723.4</v>
      </c>
      <c r="G52">
        <v>1777.9</v>
      </c>
      <c r="H52">
        <v>90.3</v>
      </c>
      <c r="I52">
        <v>146</v>
      </c>
      <c r="J52">
        <v>2.74</v>
      </c>
      <c r="K52">
        <v>5.6</v>
      </c>
      <c r="L52">
        <v>183.66300000000001</v>
      </c>
      <c r="M52">
        <v>1.7758</v>
      </c>
      <c r="N52">
        <v>0.96750000000000003</v>
      </c>
    </row>
    <row r="53" spans="1:14">
      <c r="A53">
        <v>1962</v>
      </c>
      <c r="B53">
        <v>2</v>
      </c>
      <c r="C53">
        <v>2571.5</v>
      </c>
      <c r="D53">
        <v>1609.9</v>
      </c>
      <c r="E53">
        <v>304.5</v>
      </c>
      <c r="F53">
        <v>731.7</v>
      </c>
      <c r="G53">
        <v>1799.3</v>
      </c>
      <c r="H53">
        <v>90.5</v>
      </c>
      <c r="I53">
        <v>146.6</v>
      </c>
      <c r="J53">
        <v>2.72</v>
      </c>
      <c r="K53">
        <v>5.5</v>
      </c>
      <c r="L53">
        <v>184.352</v>
      </c>
      <c r="M53">
        <v>0.88500000000000001</v>
      </c>
      <c r="N53">
        <v>1.835</v>
      </c>
    </row>
    <row r="54" spans="1:14">
      <c r="A54">
        <v>1962</v>
      </c>
      <c r="B54">
        <v>3</v>
      </c>
      <c r="C54">
        <v>2596.8000000000002</v>
      </c>
      <c r="D54">
        <v>1622.9</v>
      </c>
      <c r="E54">
        <v>310</v>
      </c>
      <c r="F54">
        <v>740.8</v>
      </c>
      <c r="G54">
        <v>1811.4</v>
      </c>
      <c r="H54">
        <v>91.2</v>
      </c>
      <c r="I54">
        <v>146.30000000000001</v>
      </c>
      <c r="J54">
        <v>2.86</v>
      </c>
      <c r="K54">
        <v>5.6</v>
      </c>
      <c r="L54">
        <v>185.04400000000001</v>
      </c>
      <c r="M54">
        <v>3.0819999999999999</v>
      </c>
      <c r="N54">
        <v>-0.2253</v>
      </c>
    </row>
    <row r="55" spans="1:14">
      <c r="A55">
        <v>1962</v>
      </c>
      <c r="B55">
        <v>4</v>
      </c>
      <c r="C55">
        <v>2603.3000000000002</v>
      </c>
      <c r="D55">
        <v>1645.9</v>
      </c>
      <c r="E55">
        <v>299.5</v>
      </c>
      <c r="F55">
        <v>744.2</v>
      </c>
      <c r="G55">
        <v>1825.5</v>
      </c>
      <c r="H55">
        <v>91</v>
      </c>
      <c r="I55">
        <v>147.80000000000001</v>
      </c>
      <c r="J55">
        <v>2.8</v>
      </c>
      <c r="K55">
        <v>5.5</v>
      </c>
      <c r="L55">
        <v>185.739</v>
      </c>
      <c r="M55">
        <v>-0.87819999999999998</v>
      </c>
      <c r="N55">
        <v>3.6815000000000002</v>
      </c>
    </row>
    <row r="56" spans="1:14">
      <c r="A56">
        <v>1963</v>
      </c>
      <c r="B56">
        <v>1</v>
      </c>
      <c r="C56">
        <v>2634.1</v>
      </c>
      <c r="D56">
        <v>1657.1</v>
      </c>
      <c r="E56">
        <v>315.39999999999998</v>
      </c>
      <c r="F56">
        <v>740</v>
      </c>
      <c r="G56">
        <v>1838.9</v>
      </c>
      <c r="H56">
        <v>91.3</v>
      </c>
      <c r="I56">
        <v>149.19999999999999</v>
      </c>
      <c r="J56">
        <v>2.91</v>
      </c>
      <c r="K56">
        <v>5.8</v>
      </c>
      <c r="L56">
        <v>186.40899999999999</v>
      </c>
      <c r="M56">
        <v>1.3165</v>
      </c>
      <c r="N56">
        <v>1.5934999999999999</v>
      </c>
    </row>
    <row r="57" spans="1:14">
      <c r="A57">
        <v>1963</v>
      </c>
      <c r="B57">
        <v>2</v>
      </c>
      <c r="C57">
        <v>2668.4</v>
      </c>
      <c r="D57">
        <v>1673</v>
      </c>
      <c r="E57">
        <v>320.8</v>
      </c>
      <c r="F57">
        <v>744.3</v>
      </c>
      <c r="G57">
        <v>1857.2</v>
      </c>
      <c r="H57">
        <v>91.7</v>
      </c>
      <c r="I57">
        <v>150.4</v>
      </c>
      <c r="J57">
        <v>2.94</v>
      </c>
      <c r="K57">
        <v>5.7</v>
      </c>
      <c r="L57">
        <v>187.08199999999999</v>
      </c>
      <c r="M57">
        <v>1.7485999999999999</v>
      </c>
      <c r="N57">
        <v>1.1947000000000001</v>
      </c>
    </row>
    <row r="58" spans="1:14">
      <c r="A58">
        <v>1963</v>
      </c>
      <c r="B58">
        <v>3</v>
      </c>
      <c r="C58">
        <v>2719.6</v>
      </c>
      <c r="D58">
        <v>1695.7</v>
      </c>
      <c r="E58">
        <v>331.5</v>
      </c>
      <c r="F58">
        <v>765.9</v>
      </c>
      <c r="G58">
        <v>1879.2</v>
      </c>
      <c r="H58">
        <v>92.1</v>
      </c>
      <c r="I58">
        <v>152</v>
      </c>
      <c r="J58">
        <v>3.28</v>
      </c>
      <c r="K58">
        <v>5.5</v>
      </c>
      <c r="L58">
        <v>187.75700000000001</v>
      </c>
      <c r="M58">
        <v>1.7410000000000001</v>
      </c>
      <c r="N58">
        <v>1.5389999999999999</v>
      </c>
    </row>
    <row r="59" spans="1:14">
      <c r="A59">
        <v>1963</v>
      </c>
      <c r="B59">
        <v>4</v>
      </c>
      <c r="C59">
        <v>2739.4</v>
      </c>
      <c r="D59">
        <v>1710</v>
      </c>
      <c r="E59">
        <v>335.2</v>
      </c>
      <c r="F59">
        <v>759.2</v>
      </c>
      <c r="G59">
        <v>1910.5</v>
      </c>
      <c r="H59">
        <v>92.5</v>
      </c>
      <c r="I59">
        <v>153.30000000000001</v>
      </c>
      <c r="J59">
        <v>3.5</v>
      </c>
      <c r="K59">
        <v>5.6</v>
      </c>
      <c r="L59">
        <v>188.434</v>
      </c>
      <c r="M59">
        <v>1.7335</v>
      </c>
      <c r="N59">
        <v>1.7632000000000001</v>
      </c>
    </row>
    <row r="60" spans="1:14">
      <c r="A60">
        <v>1964</v>
      </c>
      <c r="B60">
        <v>1</v>
      </c>
      <c r="C60">
        <v>2800.5</v>
      </c>
      <c r="D60">
        <v>1743.8</v>
      </c>
      <c r="E60">
        <v>348.9</v>
      </c>
      <c r="F60">
        <v>763.1</v>
      </c>
      <c r="G60">
        <v>1947.6</v>
      </c>
      <c r="H60">
        <v>92.6</v>
      </c>
      <c r="I60">
        <v>154.5</v>
      </c>
      <c r="J60">
        <v>3.54</v>
      </c>
      <c r="K60">
        <v>5.5</v>
      </c>
      <c r="L60">
        <v>189.09299999999999</v>
      </c>
      <c r="M60">
        <v>0.43219999999999997</v>
      </c>
      <c r="N60">
        <v>3.1044999999999998</v>
      </c>
    </row>
    <row r="61" spans="1:14">
      <c r="A61">
        <v>1964</v>
      </c>
      <c r="B61">
        <v>2</v>
      </c>
      <c r="C61">
        <v>2833.8</v>
      </c>
      <c r="D61">
        <v>1775</v>
      </c>
      <c r="E61">
        <v>347.5</v>
      </c>
      <c r="F61">
        <v>772.9</v>
      </c>
      <c r="G61">
        <v>1999.4</v>
      </c>
      <c r="H61">
        <v>92.9</v>
      </c>
      <c r="I61">
        <v>155.6</v>
      </c>
      <c r="J61">
        <v>3.48</v>
      </c>
      <c r="K61">
        <v>5.2</v>
      </c>
      <c r="L61">
        <v>189.755</v>
      </c>
      <c r="M61">
        <v>1.2938000000000001</v>
      </c>
      <c r="N61">
        <v>2.1861999999999999</v>
      </c>
    </row>
    <row r="62" spans="1:14">
      <c r="A62">
        <v>1964</v>
      </c>
      <c r="B62">
        <v>3</v>
      </c>
      <c r="C62">
        <v>2872</v>
      </c>
      <c r="D62">
        <v>1807.8</v>
      </c>
      <c r="E62">
        <v>355.7</v>
      </c>
      <c r="F62">
        <v>766.4</v>
      </c>
      <c r="G62">
        <v>2027.8</v>
      </c>
      <c r="H62">
        <v>93.2</v>
      </c>
      <c r="I62">
        <v>158.69999999999999</v>
      </c>
      <c r="J62">
        <v>3.51</v>
      </c>
      <c r="K62">
        <v>5</v>
      </c>
      <c r="L62">
        <v>190.41900000000001</v>
      </c>
      <c r="M62">
        <v>1.2896000000000001</v>
      </c>
      <c r="N62">
        <v>2.2170000000000001</v>
      </c>
    </row>
    <row r="63" spans="1:14">
      <c r="A63">
        <v>1964</v>
      </c>
      <c r="B63">
        <v>4</v>
      </c>
      <c r="C63">
        <v>2879.5</v>
      </c>
      <c r="D63">
        <v>1812.8</v>
      </c>
      <c r="E63">
        <v>358.3</v>
      </c>
      <c r="F63">
        <v>766.1</v>
      </c>
      <c r="G63">
        <v>2052.6</v>
      </c>
      <c r="H63">
        <v>93.6</v>
      </c>
      <c r="I63">
        <v>160.30000000000001</v>
      </c>
      <c r="J63">
        <v>3.69</v>
      </c>
      <c r="K63">
        <v>5</v>
      </c>
      <c r="L63">
        <v>191.08500000000001</v>
      </c>
      <c r="M63">
        <v>1.7131000000000001</v>
      </c>
      <c r="N63">
        <v>1.9736</v>
      </c>
    </row>
    <row r="64" spans="1:14">
      <c r="A64">
        <v>1965</v>
      </c>
      <c r="B64">
        <v>1</v>
      </c>
      <c r="C64">
        <v>2950.1</v>
      </c>
      <c r="D64">
        <v>1852.5</v>
      </c>
      <c r="E64">
        <v>394.9</v>
      </c>
      <c r="F64">
        <v>765.5</v>
      </c>
      <c r="G64">
        <v>2071.8000000000002</v>
      </c>
      <c r="H64">
        <v>93.7</v>
      </c>
      <c r="I64">
        <v>161.5</v>
      </c>
      <c r="J64">
        <v>3.9</v>
      </c>
      <c r="K64">
        <v>4.9000000000000004</v>
      </c>
      <c r="L64">
        <v>191.67500000000001</v>
      </c>
      <c r="M64">
        <v>0.42709999999999998</v>
      </c>
      <c r="N64">
        <v>3.4729000000000001</v>
      </c>
    </row>
    <row r="65" spans="1:14">
      <c r="A65">
        <v>1965</v>
      </c>
      <c r="B65">
        <v>2</v>
      </c>
      <c r="C65">
        <v>2989.9</v>
      </c>
      <c r="D65">
        <v>1873.2</v>
      </c>
      <c r="E65">
        <v>394.6</v>
      </c>
      <c r="F65">
        <v>781.3</v>
      </c>
      <c r="G65">
        <v>2096.4</v>
      </c>
      <c r="H65">
        <v>94.7</v>
      </c>
      <c r="I65">
        <v>162.19999999999999</v>
      </c>
      <c r="J65">
        <v>3.88</v>
      </c>
      <c r="K65">
        <v>4.7</v>
      </c>
      <c r="L65">
        <v>192.267</v>
      </c>
      <c r="M65">
        <v>4.2462999999999997</v>
      </c>
      <c r="N65">
        <v>-0.36630000000000001</v>
      </c>
    </row>
    <row r="66" spans="1:14">
      <c r="A66">
        <v>1965</v>
      </c>
      <c r="B66">
        <v>3</v>
      </c>
      <c r="C66">
        <v>3050.7</v>
      </c>
      <c r="D66">
        <v>1905.3</v>
      </c>
      <c r="E66">
        <v>408.4</v>
      </c>
      <c r="F66">
        <v>800.3</v>
      </c>
      <c r="G66">
        <v>2155.3000000000002</v>
      </c>
      <c r="H66">
        <v>94.8</v>
      </c>
      <c r="I66">
        <v>164.9</v>
      </c>
      <c r="J66">
        <v>3.86</v>
      </c>
      <c r="K66">
        <v>4.4000000000000004</v>
      </c>
      <c r="L66">
        <v>192.86099999999999</v>
      </c>
      <c r="M66">
        <v>0.42220000000000002</v>
      </c>
      <c r="N66">
        <v>3.4378000000000002</v>
      </c>
    </row>
    <row r="67" spans="1:14">
      <c r="A67">
        <v>1965</v>
      </c>
      <c r="B67">
        <v>4</v>
      </c>
      <c r="C67">
        <v>3123.6</v>
      </c>
      <c r="D67">
        <v>1959.3</v>
      </c>
      <c r="E67">
        <v>410.1</v>
      </c>
      <c r="F67">
        <v>817.2</v>
      </c>
      <c r="G67">
        <v>2200.4</v>
      </c>
      <c r="H67">
        <v>95.4</v>
      </c>
      <c r="I67">
        <v>167.8</v>
      </c>
      <c r="J67">
        <v>4.16</v>
      </c>
      <c r="K67">
        <v>4.0999999999999996</v>
      </c>
      <c r="L67">
        <v>193.45699999999999</v>
      </c>
      <c r="M67">
        <v>2.5236999999999998</v>
      </c>
      <c r="N67">
        <v>1.633</v>
      </c>
    </row>
    <row r="68" spans="1:14">
      <c r="A68">
        <v>1966</v>
      </c>
      <c r="B68">
        <v>1</v>
      </c>
      <c r="C68">
        <v>3201.1</v>
      </c>
      <c r="D68">
        <v>1988.6</v>
      </c>
      <c r="E68">
        <v>444.1</v>
      </c>
      <c r="F68">
        <v>832.5</v>
      </c>
      <c r="G68">
        <v>2219.3000000000002</v>
      </c>
      <c r="H68">
        <v>96.3</v>
      </c>
      <c r="I68">
        <v>170.5</v>
      </c>
      <c r="J68">
        <v>4.63</v>
      </c>
      <c r="K68">
        <v>3.9</v>
      </c>
      <c r="L68">
        <v>193.965</v>
      </c>
      <c r="M68">
        <v>3.7559</v>
      </c>
      <c r="N68">
        <v>0.87739999999999996</v>
      </c>
    </row>
    <row r="69" spans="1:14">
      <c r="A69">
        <v>1966</v>
      </c>
      <c r="B69">
        <v>2</v>
      </c>
      <c r="C69">
        <v>3213.2</v>
      </c>
      <c r="D69">
        <v>1994</v>
      </c>
      <c r="E69">
        <v>436.5</v>
      </c>
      <c r="F69">
        <v>857.8</v>
      </c>
      <c r="G69">
        <v>2224.6</v>
      </c>
      <c r="H69">
        <v>97.1</v>
      </c>
      <c r="I69">
        <v>171.6</v>
      </c>
      <c r="J69">
        <v>4.5999999999999996</v>
      </c>
      <c r="K69">
        <v>3.8</v>
      </c>
      <c r="L69">
        <v>194.47499999999999</v>
      </c>
      <c r="M69">
        <v>3.3092000000000001</v>
      </c>
      <c r="N69">
        <v>1.2874000000000001</v>
      </c>
    </row>
    <row r="70" spans="1:14">
      <c r="A70">
        <v>1966</v>
      </c>
      <c r="B70">
        <v>3</v>
      </c>
      <c r="C70">
        <v>3233.6</v>
      </c>
      <c r="D70">
        <v>2016.6</v>
      </c>
      <c r="E70">
        <v>432.7</v>
      </c>
      <c r="F70">
        <v>870.1</v>
      </c>
      <c r="G70">
        <v>2254</v>
      </c>
      <c r="H70">
        <v>98.1</v>
      </c>
      <c r="I70">
        <v>172</v>
      </c>
      <c r="J70">
        <v>5.05</v>
      </c>
      <c r="K70">
        <v>3.8</v>
      </c>
      <c r="L70">
        <v>194.98599999999999</v>
      </c>
      <c r="M70">
        <v>4.0983999999999998</v>
      </c>
      <c r="N70">
        <v>0.9516</v>
      </c>
    </row>
    <row r="71" spans="1:14">
      <c r="A71">
        <v>1966</v>
      </c>
      <c r="B71">
        <v>4</v>
      </c>
      <c r="C71">
        <v>3261.8</v>
      </c>
      <c r="D71">
        <v>2025.1</v>
      </c>
      <c r="E71">
        <v>435.8</v>
      </c>
      <c r="F71">
        <v>888</v>
      </c>
      <c r="G71">
        <v>2280.5</v>
      </c>
      <c r="H71">
        <v>98.6</v>
      </c>
      <c r="I71">
        <v>172</v>
      </c>
      <c r="J71">
        <v>5.25</v>
      </c>
      <c r="K71">
        <v>3.7</v>
      </c>
      <c r="L71">
        <v>195.499</v>
      </c>
      <c r="M71">
        <v>2.0335999999999999</v>
      </c>
      <c r="N71">
        <v>3.2130999999999998</v>
      </c>
    </row>
    <row r="72" spans="1:14">
      <c r="A72">
        <v>1967</v>
      </c>
      <c r="B72">
        <v>1</v>
      </c>
      <c r="C72">
        <v>3291.8</v>
      </c>
      <c r="D72">
        <v>2037.3</v>
      </c>
      <c r="E72">
        <v>424.9</v>
      </c>
      <c r="F72">
        <v>925.6</v>
      </c>
      <c r="G72">
        <v>2312.6</v>
      </c>
      <c r="H72">
        <v>98.9</v>
      </c>
      <c r="I72">
        <v>174.8</v>
      </c>
      <c r="J72">
        <v>4.54</v>
      </c>
      <c r="K72">
        <v>3.8</v>
      </c>
      <c r="L72">
        <v>195.96600000000001</v>
      </c>
      <c r="M72">
        <v>1.2152000000000001</v>
      </c>
      <c r="N72">
        <v>3.3214999999999999</v>
      </c>
    </row>
    <row r="73" spans="1:14">
      <c r="A73">
        <v>1967</v>
      </c>
      <c r="B73">
        <v>2</v>
      </c>
      <c r="C73">
        <v>3289.7</v>
      </c>
      <c r="D73">
        <v>2064.6</v>
      </c>
      <c r="E73">
        <v>405</v>
      </c>
      <c r="F73">
        <v>921.3</v>
      </c>
      <c r="G73">
        <v>2329.9</v>
      </c>
      <c r="H73">
        <v>99.7</v>
      </c>
      <c r="I73">
        <v>177</v>
      </c>
      <c r="J73">
        <v>3.66</v>
      </c>
      <c r="K73">
        <v>3.8</v>
      </c>
      <c r="L73">
        <v>196.435</v>
      </c>
      <c r="M73">
        <v>3.2225999999999999</v>
      </c>
      <c r="N73">
        <v>0.43740000000000001</v>
      </c>
    </row>
    <row r="74" spans="1:14">
      <c r="A74">
        <v>1967</v>
      </c>
      <c r="B74">
        <v>3</v>
      </c>
      <c r="C74">
        <v>3313.5</v>
      </c>
      <c r="D74">
        <v>2075.1999999999998</v>
      </c>
      <c r="E74">
        <v>415.2</v>
      </c>
      <c r="F74">
        <v>926.8</v>
      </c>
      <c r="G74">
        <v>2351.4</v>
      </c>
      <c r="H74">
        <v>100.7</v>
      </c>
      <c r="I74">
        <v>180.7</v>
      </c>
      <c r="J74">
        <v>4.34</v>
      </c>
      <c r="K74">
        <v>3.8</v>
      </c>
      <c r="L74">
        <v>196.904</v>
      </c>
      <c r="M74">
        <v>3.992</v>
      </c>
      <c r="N74">
        <v>0.3513</v>
      </c>
    </row>
    <row r="75" spans="1:14">
      <c r="A75">
        <v>1967</v>
      </c>
      <c r="B75">
        <v>4</v>
      </c>
      <c r="C75">
        <v>3338.3</v>
      </c>
      <c r="D75">
        <v>2087.9</v>
      </c>
      <c r="E75">
        <v>423.6</v>
      </c>
      <c r="F75">
        <v>934.8</v>
      </c>
      <c r="G75">
        <v>2367.9</v>
      </c>
      <c r="H75">
        <v>101.6</v>
      </c>
      <c r="I75">
        <v>183.3</v>
      </c>
      <c r="J75">
        <v>4.79</v>
      </c>
      <c r="K75">
        <v>3.9</v>
      </c>
      <c r="L75">
        <v>197.375</v>
      </c>
      <c r="M75">
        <v>3.5590999999999999</v>
      </c>
      <c r="N75">
        <v>1.2276</v>
      </c>
    </row>
    <row r="76" spans="1:14">
      <c r="A76">
        <v>1968</v>
      </c>
      <c r="B76">
        <v>1</v>
      </c>
      <c r="C76">
        <v>3406.2</v>
      </c>
      <c r="D76">
        <v>2136.1999999999998</v>
      </c>
      <c r="E76">
        <v>433.8</v>
      </c>
      <c r="F76">
        <v>951.4</v>
      </c>
      <c r="G76">
        <v>2409.5</v>
      </c>
      <c r="H76">
        <v>102.8</v>
      </c>
      <c r="I76">
        <v>185.5</v>
      </c>
      <c r="J76">
        <v>5.07</v>
      </c>
      <c r="K76">
        <v>3.7</v>
      </c>
      <c r="L76">
        <v>197.857</v>
      </c>
      <c r="M76">
        <v>4.6966999999999999</v>
      </c>
      <c r="N76">
        <v>0.36990000000000001</v>
      </c>
    </row>
    <row r="77" spans="1:14">
      <c r="A77">
        <v>1968</v>
      </c>
      <c r="B77">
        <v>2</v>
      </c>
      <c r="C77">
        <v>3464.8</v>
      </c>
      <c r="D77">
        <v>2169.6</v>
      </c>
      <c r="E77">
        <v>451.8</v>
      </c>
      <c r="F77">
        <v>956</v>
      </c>
      <c r="G77">
        <v>2451.1999999999998</v>
      </c>
      <c r="H77">
        <v>104</v>
      </c>
      <c r="I77">
        <v>189.4</v>
      </c>
      <c r="J77">
        <v>5.51</v>
      </c>
      <c r="K77">
        <v>3.6</v>
      </c>
      <c r="L77">
        <v>198.34100000000001</v>
      </c>
      <c r="M77">
        <v>4.6421999999999999</v>
      </c>
      <c r="N77">
        <v>0.87109999999999999</v>
      </c>
    </row>
    <row r="78" spans="1:14">
      <c r="A78">
        <v>1968</v>
      </c>
      <c r="B78">
        <v>3</v>
      </c>
      <c r="C78">
        <v>3489.2</v>
      </c>
      <c r="D78">
        <v>2210.6999999999998</v>
      </c>
      <c r="E78">
        <v>437.3</v>
      </c>
      <c r="F78">
        <v>958.3</v>
      </c>
      <c r="G78">
        <v>2457.9</v>
      </c>
      <c r="H78">
        <v>105.1</v>
      </c>
      <c r="I78">
        <v>192.7</v>
      </c>
      <c r="J78">
        <v>5.22</v>
      </c>
      <c r="K78">
        <v>3.5</v>
      </c>
      <c r="L78">
        <v>198.82599999999999</v>
      </c>
      <c r="M78">
        <v>4.2085999999999997</v>
      </c>
      <c r="N78">
        <v>1.0147999999999999</v>
      </c>
    </row>
    <row r="79" spans="1:14">
      <c r="A79">
        <v>1968</v>
      </c>
      <c r="B79">
        <v>4</v>
      </c>
      <c r="C79">
        <v>3504.1</v>
      </c>
      <c r="D79">
        <v>2220.4</v>
      </c>
      <c r="E79">
        <v>442.2</v>
      </c>
      <c r="F79">
        <v>960.5</v>
      </c>
      <c r="G79">
        <v>2474.3000000000002</v>
      </c>
      <c r="H79">
        <v>106.4</v>
      </c>
      <c r="I79">
        <v>197.4</v>
      </c>
      <c r="J79">
        <v>5.58</v>
      </c>
      <c r="K79">
        <v>3.4</v>
      </c>
      <c r="L79">
        <v>199.31200000000001</v>
      </c>
      <c r="M79">
        <v>4.9173</v>
      </c>
      <c r="N79">
        <v>0.66600000000000004</v>
      </c>
    </row>
    <row r="80" spans="1:14">
      <c r="A80">
        <v>1969</v>
      </c>
      <c r="B80">
        <v>1</v>
      </c>
      <c r="C80">
        <v>3558.3</v>
      </c>
      <c r="D80">
        <v>2244.8000000000002</v>
      </c>
      <c r="E80">
        <v>470.8</v>
      </c>
      <c r="F80">
        <v>956.9</v>
      </c>
      <c r="G80">
        <v>2477.5</v>
      </c>
      <c r="H80">
        <v>108</v>
      </c>
      <c r="I80">
        <v>200</v>
      </c>
      <c r="J80">
        <v>6.14</v>
      </c>
      <c r="K80">
        <v>3.4</v>
      </c>
      <c r="L80">
        <v>199.80699999999999</v>
      </c>
      <c r="M80">
        <v>5.9702999999999999</v>
      </c>
      <c r="N80">
        <v>0.16969999999999999</v>
      </c>
    </row>
    <row r="81" spans="1:14">
      <c r="A81">
        <v>1969</v>
      </c>
      <c r="B81">
        <v>2</v>
      </c>
      <c r="C81">
        <v>3567.6</v>
      </c>
      <c r="D81">
        <v>2258.8000000000002</v>
      </c>
      <c r="E81">
        <v>467.1</v>
      </c>
      <c r="F81">
        <v>956</v>
      </c>
      <c r="G81">
        <v>2501.5</v>
      </c>
      <c r="H81">
        <v>109.7</v>
      </c>
      <c r="I81">
        <v>201.3</v>
      </c>
      <c r="J81">
        <v>6.24</v>
      </c>
      <c r="K81">
        <v>3.4</v>
      </c>
      <c r="L81">
        <v>200.303</v>
      </c>
      <c r="M81">
        <v>6.2473000000000001</v>
      </c>
      <c r="N81">
        <v>-3.8999999999999998E-3</v>
      </c>
    </row>
    <row r="82" spans="1:14">
      <c r="A82">
        <v>1969</v>
      </c>
      <c r="B82">
        <v>3</v>
      </c>
      <c r="C82">
        <v>3588.3</v>
      </c>
      <c r="D82">
        <v>2269</v>
      </c>
      <c r="E82">
        <v>477.2</v>
      </c>
      <c r="F82">
        <v>954.1</v>
      </c>
      <c r="G82">
        <v>2550.1999999999998</v>
      </c>
      <c r="H82">
        <v>111.2</v>
      </c>
      <c r="I82">
        <v>202.1</v>
      </c>
      <c r="J82">
        <v>7.05</v>
      </c>
      <c r="K82">
        <v>3.6</v>
      </c>
      <c r="L82">
        <v>200.8</v>
      </c>
      <c r="M82">
        <v>5.4324000000000003</v>
      </c>
      <c r="N82">
        <v>1.6175999999999999</v>
      </c>
    </row>
    <row r="83" spans="1:14">
      <c r="A83">
        <v>1969</v>
      </c>
      <c r="B83">
        <v>4</v>
      </c>
      <c r="C83">
        <v>3571.4</v>
      </c>
      <c r="D83">
        <v>2286.5</v>
      </c>
      <c r="E83">
        <v>452.6</v>
      </c>
      <c r="F83">
        <v>943.1</v>
      </c>
      <c r="G83">
        <v>2568.1</v>
      </c>
      <c r="H83">
        <v>112.9</v>
      </c>
      <c r="I83">
        <v>203.9</v>
      </c>
      <c r="J83">
        <v>7.32</v>
      </c>
      <c r="K83">
        <v>3.6</v>
      </c>
      <c r="L83">
        <v>201.298</v>
      </c>
      <c r="M83">
        <v>6.0688000000000004</v>
      </c>
      <c r="N83">
        <v>1.2512000000000001</v>
      </c>
    </row>
    <row r="84" spans="1:14">
      <c r="A84">
        <v>1970</v>
      </c>
      <c r="B84">
        <v>1</v>
      </c>
      <c r="C84">
        <v>3566.5</v>
      </c>
      <c r="D84">
        <v>2300.8000000000002</v>
      </c>
      <c r="E84">
        <v>438</v>
      </c>
      <c r="F84">
        <v>936.2</v>
      </c>
      <c r="G84">
        <v>2581.9</v>
      </c>
      <c r="H84">
        <v>114.5</v>
      </c>
      <c r="I84">
        <v>205.7</v>
      </c>
      <c r="J84">
        <v>7.26</v>
      </c>
      <c r="K84">
        <v>4.2</v>
      </c>
      <c r="L84">
        <v>201.92</v>
      </c>
      <c r="M84">
        <v>5.6288999999999998</v>
      </c>
      <c r="N84">
        <v>1.6344000000000001</v>
      </c>
    </row>
    <row r="85" spans="1:14">
      <c r="A85">
        <v>1970</v>
      </c>
      <c r="B85">
        <v>2</v>
      </c>
      <c r="C85">
        <v>3573.9</v>
      </c>
      <c r="D85">
        <v>2312</v>
      </c>
      <c r="E85">
        <v>439.4</v>
      </c>
      <c r="F85">
        <v>927.3</v>
      </c>
      <c r="G85">
        <v>2626</v>
      </c>
      <c r="H85">
        <v>116.3</v>
      </c>
      <c r="I85">
        <v>207.6</v>
      </c>
      <c r="J85">
        <v>6.75</v>
      </c>
      <c r="K85">
        <v>4.8</v>
      </c>
      <c r="L85">
        <v>202.54499999999999</v>
      </c>
      <c r="M85">
        <v>6.2393000000000001</v>
      </c>
      <c r="N85">
        <v>0.51070000000000004</v>
      </c>
    </row>
    <row r="86" spans="1:14">
      <c r="A86">
        <v>1970</v>
      </c>
      <c r="B86">
        <v>3</v>
      </c>
      <c r="C86">
        <v>3605.2</v>
      </c>
      <c r="D86">
        <v>2332.1999999999998</v>
      </c>
      <c r="E86">
        <v>446.5</v>
      </c>
      <c r="F86">
        <v>930.9</v>
      </c>
      <c r="G86">
        <v>2661.1</v>
      </c>
      <c r="H86">
        <v>117.5</v>
      </c>
      <c r="I86">
        <v>211.9</v>
      </c>
      <c r="J86">
        <v>6.37</v>
      </c>
      <c r="K86">
        <v>5.2</v>
      </c>
      <c r="L86">
        <v>203.17099999999999</v>
      </c>
      <c r="M86">
        <v>4.1060999999999996</v>
      </c>
      <c r="N86">
        <v>2.2671999999999999</v>
      </c>
    </row>
    <row r="87" spans="1:14">
      <c r="A87">
        <v>1970</v>
      </c>
      <c r="B87">
        <v>4</v>
      </c>
      <c r="C87">
        <v>3566.5</v>
      </c>
      <c r="D87">
        <v>2324.9</v>
      </c>
      <c r="E87">
        <v>421</v>
      </c>
      <c r="F87">
        <v>929.9</v>
      </c>
      <c r="G87">
        <v>2650.9</v>
      </c>
      <c r="H87">
        <v>119.1</v>
      </c>
      <c r="I87">
        <v>214.3</v>
      </c>
      <c r="J87">
        <v>5.36</v>
      </c>
      <c r="K87">
        <v>5.8</v>
      </c>
      <c r="L87">
        <v>203.79900000000001</v>
      </c>
      <c r="M87">
        <v>5.4100999999999999</v>
      </c>
      <c r="N87">
        <v>-5.0099999999999999E-2</v>
      </c>
    </row>
    <row r="88" spans="1:14">
      <c r="A88">
        <v>1971</v>
      </c>
      <c r="B88">
        <v>1</v>
      </c>
      <c r="C88">
        <v>3666.1</v>
      </c>
      <c r="D88">
        <v>2369.8000000000002</v>
      </c>
      <c r="E88">
        <v>475.9</v>
      </c>
      <c r="F88">
        <v>918.6</v>
      </c>
      <c r="G88">
        <v>2703.5</v>
      </c>
      <c r="H88">
        <v>119.8</v>
      </c>
      <c r="I88">
        <v>218.7</v>
      </c>
      <c r="J88">
        <v>3.87</v>
      </c>
      <c r="K88">
        <v>5.9</v>
      </c>
      <c r="L88">
        <v>204.54900000000001</v>
      </c>
      <c r="M88">
        <v>2.3441000000000001</v>
      </c>
      <c r="N88">
        <v>1.5226</v>
      </c>
    </row>
    <row r="89" spans="1:14">
      <c r="A89">
        <v>1971</v>
      </c>
      <c r="B89">
        <v>2</v>
      </c>
      <c r="C89">
        <v>3686.2</v>
      </c>
      <c r="D89">
        <v>2391.4</v>
      </c>
      <c r="E89">
        <v>490.2</v>
      </c>
      <c r="F89">
        <v>915.2</v>
      </c>
      <c r="G89">
        <v>2742.6</v>
      </c>
      <c r="H89">
        <v>121.5</v>
      </c>
      <c r="I89">
        <v>223.6</v>
      </c>
      <c r="J89">
        <v>4.21</v>
      </c>
      <c r="K89">
        <v>5.9</v>
      </c>
      <c r="L89">
        <v>205.303</v>
      </c>
      <c r="M89">
        <v>5.6361999999999997</v>
      </c>
      <c r="N89">
        <v>-1.4296</v>
      </c>
    </row>
    <row r="90" spans="1:14">
      <c r="A90">
        <v>1971</v>
      </c>
      <c r="B90">
        <v>3</v>
      </c>
      <c r="C90">
        <v>3714.5</v>
      </c>
      <c r="D90">
        <v>2409.8000000000002</v>
      </c>
      <c r="E90">
        <v>496.5</v>
      </c>
      <c r="F90">
        <v>911.9</v>
      </c>
      <c r="G90">
        <v>2752.9</v>
      </c>
      <c r="H90">
        <v>122.2</v>
      </c>
      <c r="I90">
        <v>226.6</v>
      </c>
      <c r="J90">
        <v>5.05</v>
      </c>
      <c r="K90">
        <v>6</v>
      </c>
      <c r="L90">
        <v>206.059</v>
      </c>
      <c r="M90">
        <v>2.2978999999999998</v>
      </c>
      <c r="N90">
        <v>2.7553999999999998</v>
      </c>
    </row>
    <row r="91" spans="1:14">
      <c r="A91">
        <v>1971</v>
      </c>
      <c r="B91">
        <v>4</v>
      </c>
      <c r="C91">
        <v>3723.8</v>
      </c>
      <c r="D91">
        <v>2449.8000000000002</v>
      </c>
      <c r="E91">
        <v>480.6</v>
      </c>
      <c r="F91">
        <v>909.4</v>
      </c>
      <c r="G91">
        <v>2782.1</v>
      </c>
      <c r="H91">
        <v>123.1</v>
      </c>
      <c r="I91">
        <v>228.2</v>
      </c>
      <c r="J91">
        <v>4.2300000000000004</v>
      </c>
      <c r="K91">
        <v>5.9</v>
      </c>
      <c r="L91">
        <v>206.81800000000001</v>
      </c>
      <c r="M91">
        <v>2.9352</v>
      </c>
      <c r="N91">
        <v>1.2981</v>
      </c>
    </row>
    <row r="92" spans="1:14">
      <c r="A92">
        <v>1972</v>
      </c>
      <c r="B92">
        <v>1</v>
      </c>
      <c r="C92">
        <v>3796.9</v>
      </c>
      <c r="D92">
        <v>2482.1999999999998</v>
      </c>
      <c r="E92">
        <v>513.6</v>
      </c>
      <c r="F92">
        <v>920.8</v>
      </c>
      <c r="G92">
        <v>2797.6</v>
      </c>
      <c r="H92">
        <v>124</v>
      </c>
      <c r="I92">
        <v>234.2</v>
      </c>
      <c r="J92">
        <v>3.44</v>
      </c>
      <c r="K92">
        <v>5.8</v>
      </c>
      <c r="L92">
        <v>207.429</v>
      </c>
      <c r="M92">
        <v>2.9138000000000002</v>
      </c>
      <c r="N92">
        <v>0.52290000000000003</v>
      </c>
    </row>
    <row r="93" spans="1:14">
      <c r="A93">
        <v>1972</v>
      </c>
      <c r="B93">
        <v>2</v>
      </c>
      <c r="C93">
        <v>3883.8</v>
      </c>
      <c r="D93">
        <v>2527.5</v>
      </c>
      <c r="E93">
        <v>544.9</v>
      </c>
      <c r="F93">
        <v>921.9</v>
      </c>
      <c r="G93">
        <v>2822.9</v>
      </c>
      <c r="H93">
        <v>125</v>
      </c>
      <c r="I93">
        <v>236.8</v>
      </c>
      <c r="J93">
        <v>3.75</v>
      </c>
      <c r="K93">
        <v>5.7</v>
      </c>
      <c r="L93">
        <v>208.04300000000001</v>
      </c>
      <c r="M93">
        <v>3.2128999999999999</v>
      </c>
      <c r="N93">
        <v>0.53380000000000005</v>
      </c>
    </row>
    <row r="94" spans="1:14">
      <c r="A94">
        <v>1972</v>
      </c>
      <c r="B94">
        <v>3</v>
      </c>
      <c r="C94">
        <v>3922.3</v>
      </c>
      <c r="D94">
        <v>2565.9</v>
      </c>
      <c r="E94">
        <v>554.1</v>
      </c>
      <c r="F94">
        <v>907.6</v>
      </c>
      <c r="G94">
        <v>2883.6</v>
      </c>
      <c r="H94">
        <v>126.2</v>
      </c>
      <c r="I94">
        <v>243.3</v>
      </c>
      <c r="J94">
        <v>4.24</v>
      </c>
      <c r="K94">
        <v>5.6</v>
      </c>
      <c r="L94">
        <v>208.65799999999999</v>
      </c>
      <c r="M94">
        <v>3.8216999999999999</v>
      </c>
      <c r="N94">
        <v>0.41830000000000001</v>
      </c>
    </row>
    <row r="95" spans="1:14">
      <c r="A95">
        <v>1972</v>
      </c>
      <c r="B95">
        <v>4</v>
      </c>
      <c r="C95">
        <v>3990.5</v>
      </c>
      <c r="D95">
        <v>2626.3</v>
      </c>
      <c r="E95">
        <v>559.4</v>
      </c>
      <c r="F95">
        <v>909.1</v>
      </c>
      <c r="G95">
        <v>2993</v>
      </c>
      <c r="H95">
        <v>127.3</v>
      </c>
      <c r="I95">
        <v>249.1</v>
      </c>
      <c r="J95">
        <v>4.8499999999999996</v>
      </c>
      <c r="K95">
        <v>5.4</v>
      </c>
      <c r="L95">
        <v>209.27500000000001</v>
      </c>
      <c r="M95">
        <v>3.4714</v>
      </c>
      <c r="N95">
        <v>1.3818999999999999</v>
      </c>
    </row>
    <row r="96" spans="1:14">
      <c r="A96">
        <v>1973</v>
      </c>
      <c r="B96">
        <v>1</v>
      </c>
      <c r="C96">
        <v>4092.3</v>
      </c>
      <c r="D96">
        <v>2674.2</v>
      </c>
      <c r="E96">
        <v>595.20000000000005</v>
      </c>
      <c r="F96">
        <v>914.5</v>
      </c>
      <c r="G96">
        <v>3031.9</v>
      </c>
      <c r="H96">
        <v>129.80000000000001</v>
      </c>
      <c r="I96">
        <v>251.5</v>
      </c>
      <c r="J96">
        <v>5.64</v>
      </c>
      <c r="K96">
        <v>4.9000000000000004</v>
      </c>
      <c r="L96">
        <v>209.792</v>
      </c>
      <c r="M96">
        <v>7.7793000000000001</v>
      </c>
      <c r="N96">
        <v>-2.1393</v>
      </c>
    </row>
    <row r="97" spans="1:14">
      <c r="A97">
        <v>1973</v>
      </c>
      <c r="B97">
        <v>2</v>
      </c>
      <c r="C97">
        <v>4133.3</v>
      </c>
      <c r="D97">
        <v>2671.4</v>
      </c>
      <c r="E97">
        <v>618.20000000000005</v>
      </c>
      <c r="F97">
        <v>911.5</v>
      </c>
      <c r="G97">
        <v>3059.6</v>
      </c>
      <c r="H97">
        <v>132.4</v>
      </c>
      <c r="I97">
        <v>256.89999999999998</v>
      </c>
      <c r="J97">
        <v>6.61</v>
      </c>
      <c r="K97">
        <v>4.9000000000000004</v>
      </c>
      <c r="L97">
        <v>210.309</v>
      </c>
      <c r="M97">
        <v>7.9330999999999996</v>
      </c>
      <c r="N97">
        <v>-1.3230999999999999</v>
      </c>
    </row>
    <row r="98" spans="1:14">
      <c r="A98">
        <v>1973</v>
      </c>
      <c r="B98">
        <v>3</v>
      </c>
      <c r="C98">
        <v>4117</v>
      </c>
      <c r="D98">
        <v>2682.5</v>
      </c>
      <c r="E98">
        <v>597.5</v>
      </c>
      <c r="F98">
        <v>898.5</v>
      </c>
      <c r="G98">
        <v>3079.3</v>
      </c>
      <c r="H98">
        <v>135.5</v>
      </c>
      <c r="I98">
        <v>258</v>
      </c>
      <c r="J98">
        <v>8.39</v>
      </c>
      <c r="K98">
        <v>4.8</v>
      </c>
      <c r="L98">
        <v>210.82900000000001</v>
      </c>
      <c r="M98">
        <v>9.2576000000000001</v>
      </c>
      <c r="N98">
        <v>-0.86760000000000004</v>
      </c>
    </row>
    <row r="99" spans="1:14">
      <c r="A99">
        <v>1973</v>
      </c>
      <c r="B99">
        <v>4</v>
      </c>
      <c r="C99">
        <v>4151.1000000000004</v>
      </c>
      <c r="D99">
        <v>2675.6</v>
      </c>
      <c r="E99">
        <v>615.29999999999995</v>
      </c>
      <c r="F99">
        <v>908.4</v>
      </c>
      <c r="G99">
        <v>3118.3</v>
      </c>
      <c r="H99">
        <v>138.5</v>
      </c>
      <c r="I99">
        <v>262.7</v>
      </c>
      <c r="J99">
        <v>7.47</v>
      </c>
      <c r="K99">
        <v>4.8</v>
      </c>
      <c r="L99">
        <v>211.34899999999999</v>
      </c>
      <c r="M99">
        <v>8.7594999999999992</v>
      </c>
      <c r="N99">
        <v>-1.2927999999999999</v>
      </c>
    </row>
    <row r="100" spans="1:14">
      <c r="A100">
        <v>1974</v>
      </c>
      <c r="B100">
        <v>1</v>
      </c>
      <c r="C100">
        <v>4119.3</v>
      </c>
      <c r="D100">
        <v>2652.4</v>
      </c>
      <c r="E100">
        <v>579.20000000000005</v>
      </c>
      <c r="F100">
        <v>920</v>
      </c>
      <c r="G100">
        <v>3072.1</v>
      </c>
      <c r="H100">
        <v>143.1</v>
      </c>
      <c r="I100">
        <v>266.5</v>
      </c>
      <c r="J100">
        <v>7.6</v>
      </c>
      <c r="K100">
        <v>5.0999999999999996</v>
      </c>
      <c r="L100">
        <v>211.84399999999999</v>
      </c>
      <c r="M100">
        <v>13.0693</v>
      </c>
      <c r="N100">
        <v>-5.4660000000000002</v>
      </c>
    </row>
    <row r="101" spans="1:14">
      <c r="A101">
        <v>1974</v>
      </c>
      <c r="B101">
        <v>2</v>
      </c>
      <c r="C101">
        <v>4130.3999999999996</v>
      </c>
      <c r="D101">
        <v>2662</v>
      </c>
      <c r="E101">
        <v>577.29999999999995</v>
      </c>
      <c r="F101">
        <v>927.8</v>
      </c>
      <c r="G101">
        <v>3045.5</v>
      </c>
      <c r="H101">
        <v>146.9</v>
      </c>
      <c r="I101">
        <v>268.60000000000002</v>
      </c>
      <c r="J101">
        <v>8.27</v>
      </c>
      <c r="K101">
        <v>5.2</v>
      </c>
      <c r="L101">
        <v>212.339</v>
      </c>
      <c r="M101">
        <v>10.4834</v>
      </c>
      <c r="N101">
        <v>-2.2134</v>
      </c>
    </row>
    <row r="102" spans="1:14">
      <c r="A102">
        <v>1974</v>
      </c>
      <c r="B102">
        <v>3</v>
      </c>
      <c r="C102">
        <v>4084.5</v>
      </c>
      <c r="D102">
        <v>2672.2</v>
      </c>
      <c r="E102">
        <v>543.4</v>
      </c>
      <c r="F102">
        <v>924.2</v>
      </c>
      <c r="G102">
        <v>3053.3</v>
      </c>
      <c r="H102">
        <v>151.69999999999999</v>
      </c>
      <c r="I102">
        <v>271.3</v>
      </c>
      <c r="J102">
        <v>8.2899999999999991</v>
      </c>
      <c r="K102">
        <v>5.6</v>
      </c>
      <c r="L102">
        <v>212.83600000000001</v>
      </c>
      <c r="M102">
        <v>12.8611</v>
      </c>
      <c r="N102">
        <v>-4.5711000000000004</v>
      </c>
    </row>
    <row r="103" spans="1:14">
      <c r="A103">
        <v>1974</v>
      </c>
      <c r="B103">
        <v>4</v>
      </c>
      <c r="C103">
        <v>4062</v>
      </c>
      <c r="D103">
        <v>2628.4</v>
      </c>
      <c r="E103">
        <v>547</v>
      </c>
      <c r="F103">
        <v>927.4</v>
      </c>
      <c r="G103">
        <v>3036.7</v>
      </c>
      <c r="H103">
        <v>155.4</v>
      </c>
      <c r="I103">
        <v>274</v>
      </c>
      <c r="J103">
        <v>7.34</v>
      </c>
      <c r="K103">
        <v>6.6</v>
      </c>
      <c r="L103">
        <v>213.334</v>
      </c>
      <c r="M103">
        <v>9.6389999999999993</v>
      </c>
      <c r="N103">
        <v>-2.3024</v>
      </c>
    </row>
    <row r="104" spans="1:14">
      <c r="A104">
        <v>1975</v>
      </c>
      <c r="B104">
        <v>1</v>
      </c>
      <c r="C104">
        <v>4010</v>
      </c>
      <c r="D104">
        <v>2648.8</v>
      </c>
      <c r="E104">
        <v>450.8</v>
      </c>
      <c r="F104">
        <v>940.8</v>
      </c>
      <c r="G104">
        <v>3015</v>
      </c>
      <c r="H104">
        <v>157.80000000000001</v>
      </c>
      <c r="I104">
        <v>276.2</v>
      </c>
      <c r="J104">
        <v>5.88</v>
      </c>
      <c r="K104">
        <v>8.3000000000000007</v>
      </c>
      <c r="L104">
        <v>213.86199999999999</v>
      </c>
      <c r="M104">
        <v>6.1303999999999998</v>
      </c>
      <c r="N104">
        <v>-0.25369999999999998</v>
      </c>
    </row>
    <row r="105" spans="1:14">
      <c r="A105">
        <v>1975</v>
      </c>
      <c r="B105">
        <v>2</v>
      </c>
      <c r="C105">
        <v>4045.2</v>
      </c>
      <c r="D105">
        <v>2695.4</v>
      </c>
      <c r="E105">
        <v>436.4</v>
      </c>
      <c r="F105">
        <v>938.3</v>
      </c>
      <c r="G105">
        <v>3156.6</v>
      </c>
      <c r="H105">
        <v>160.6</v>
      </c>
      <c r="I105">
        <v>282.7</v>
      </c>
      <c r="J105">
        <v>5.4</v>
      </c>
      <c r="K105">
        <v>8.9</v>
      </c>
      <c r="L105">
        <v>214.392</v>
      </c>
      <c r="M105">
        <v>7.0354000000000001</v>
      </c>
      <c r="N105">
        <v>-1.6319999999999999</v>
      </c>
    </row>
    <row r="106" spans="1:14">
      <c r="A106">
        <v>1975</v>
      </c>
      <c r="B106">
        <v>3</v>
      </c>
      <c r="C106">
        <v>4115.3999999999996</v>
      </c>
      <c r="D106">
        <v>2734.7</v>
      </c>
      <c r="E106">
        <v>474.9</v>
      </c>
      <c r="F106">
        <v>941.8</v>
      </c>
      <c r="G106">
        <v>3114.9</v>
      </c>
      <c r="H106">
        <v>163.6</v>
      </c>
      <c r="I106">
        <v>286</v>
      </c>
      <c r="J106">
        <v>6.34</v>
      </c>
      <c r="K106">
        <v>8.5</v>
      </c>
      <c r="L106">
        <v>214.92400000000001</v>
      </c>
      <c r="M106">
        <v>7.4029999999999996</v>
      </c>
      <c r="N106">
        <v>-1.0664</v>
      </c>
    </row>
    <row r="107" spans="1:14">
      <c r="A107">
        <v>1975</v>
      </c>
      <c r="B107">
        <v>4</v>
      </c>
      <c r="C107">
        <v>4167.2</v>
      </c>
      <c r="D107">
        <v>2764.6</v>
      </c>
      <c r="E107">
        <v>486.8</v>
      </c>
      <c r="F107">
        <v>949.1</v>
      </c>
      <c r="G107">
        <v>3147.6</v>
      </c>
      <c r="H107">
        <v>166.3</v>
      </c>
      <c r="I107">
        <v>286.8</v>
      </c>
      <c r="J107">
        <v>5.68</v>
      </c>
      <c r="K107">
        <v>8.3000000000000007</v>
      </c>
      <c r="L107">
        <v>215.45699999999999</v>
      </c>
      <c r="M107">
        <v>6.5476000000000001</v>
      </c>
      <c r="N107">
        <v>-0.86429999999999996</v>
      </c>
    </row>
    <row r="108" spans="1:14">
      <c r="A108">
        <v>1976</v>
      </c>
      <c r="B108">
        <v>1</v>
      </c>
      <c r="C108">
        <v>4266.1000000000004</v>
      </c>
      <c r="D108">
        <v>2824.7</v>
      </c>
      <c r="E108">
        <v>535.1</v>
      </c>
      <c r="F108">
        <v>952.5</v>
      </c>
      <c r="G108">
        <v>3201.9</v>
      </c>
      <c r="H108">
        <v>167.5</v>
      </c>
      <c r="I108">
        <v>292.39999999999998</v>
      </c>
      <c r="J108">
        <v>4.95</v>
      </c>
      <c r="K108">
        <v>7.7</v>
      </c>
      <c r="L108">
        <v>215.97900000000001</v>
      </c>
      <c r="M108">
        <v>2.8759999999999999</v>
      </c>
      <c r="N108">
        <v>2.0773000000000001</v>
      </c>
    </row>
    <row r="109" spans="1:14">
      <c r="A109">
        <v>1976</v>
      </c>
      <c r="B109">
        <v>2</v>
      </c>
      <c r="C109">
        <v>4301.5</v>
      </c>
      <c r="D109">
        <v>2850.9</v>
      </c>
      <c r="E109">
        <v>559.79999999999995</v>
      </c>
      <c r="F109">
        <v>943.3</v>
      </c>
      <c r="G109">
        <v>3229</v>
      </c>
      <c r="H109">
        <v>170.1</v>
      </c>
      <c r="I109">
        <v>296.39999999999998</v>
      </c>
      <c r="J109">
        <v>5.17</v>
      </c>
      <c r="K109">
        <v>7.6</v>
      </c>
      <c r="L109">
        <v>216.50299999999999</v>
      </c>
      <c r="M109">
        <v>6.1612999999999998</v>
      </c>
      <c r="N109">
        <v>-0.9879</v>
      </c>
    </row>
    <row r="110" spans="1:14">
      <c r="A110">
        <v>1976</v>
      </c>
      <c r="B110">
        <v>3</v>
      </c>
      <c r="C110">
        <v>4321.8999999999996</v>
      </c>
      <c r="D110">
        <v>2880.3</v>
      </c>
      <c r="E110">
        <v>561.1</v>
      </c>
      <c r="F110">
        <v>938.9</v>
      </c>
      <c r="G110">
        <v>3259.7</v>
      </c>
      <c r="H110">
        <v>172.6</v>
      </c>
      <c r="I110">
        <v>300</v>
      </c>
      <c r="J110">
        <v>5.17</v>
      </c>
      <c r="K110">
        <v>7.7</v>
      </c>
      <c r="L110">
        <v>217.02799999999999</v>
      </c>
      <c r="M110">
        <v>5.8361000000000001</v>
      </c>
      <c r="N110">
        <v>-0.66610000000000003</v>
      </c>
    </row>
    <row r="111" spans="1:14">
      <c r="A111">
        <v>1976</v>
      </c>
      <c r="B111">
        <v>4</v>
      </c>
      <c r="C111">
        <v>4357.3999999999996</v>
      </c>
      <c r="D111">
        <v>2919.6</v>
      </c>
      <c r="E111">
        <v>565.9</v>
      </c>
      <c r="F111">
        <v>938.6</v>
      </c>
      <c r="G111">
        <v>3283.5</v>
      </c>
      <c r="H111">
        <v>174.3</v>
      </c>
      <c r="I111">
        <v>305.89999999999998</v>
      </c>
      <c r="J111">
        <v>4.7</v>
      </c>
      <c r="K111">
        <v>7.8</v>
      </c>
      <c r="L111">
        <v>217.554</v>
      </c>
      <c r="M111">
        <v>3.9205000000000001</v>
      </c>
      <c r="N111">
        <v>0.77949999999999997</v>
      </c>
    </row>
    <row r="112" spans="1:14">
      <c r="A112">
        <v>1977</v>
      </c>
      <c r="B112">
        <v>1</v>
      </c>
      <c r="C112">
        <v>4410.5</v>
      </c>
      <c r="D112">
        <v>2954.7</v>
      </c>
      <c r="E112">
        <v>595.5</v>
      </c>
      <c r="F112">
        <v>945.3</v>
      </c>
      <c r="G112">
        <v>3305.4</v>
      </c>
      <c r="H112">
        <v>178.2</v>
      </c>
      <c r="I112">
        <v>313.60000000000002</v>
      </c>
      <c r="J112">
        <v>4.62</v>
      </c>
      <c r="K112">
        <v>7.5</v>
      </c>
      <c r="L112">
        <v>218.10400000000001</v>
      </c>
      <c r="M112">
        <v>8.8513999999999999</v>
      </c>
      <c r="N112">
        <v>-4.2281000000000004</v>
      </c>
    </row>
    <row r="113" spans="1:14">
      <c r="A113">
        <v>1977</v>
      </c>
      <c r="B113">
        <v>2</v>
      </c>
      <c r="C113">
        <v>4489.8</v>
      </c>
      <c r="D113">
        <v>2970.5</v>
      </c>
      <c r="E113">
        <v>635</v>
      </c>
      <c r="F113">
        <v>955.1</v>
      </c>
      <c r="G113">
        <v>3326.8</v>
      </c>
      <c r="H113">
        <v>181.8</v>
      </c>
      <c r="I113">
        <v>319</v>
      </c>
      <c r="J113">
        <v>4.83</v>
      </c>
      <c r="K113">
        <v>7.1</v>
      </c>
      <c r="L113">
        <v>218.655</v>
      </c>
      <c r="M113">
        <v>8.0002999999999993</v>
      </c>
      <c r="N113">
        <v>-3.1736</v>
      </c>
    </row>
    <row r="114" spans="1:14">
      <c r="A114">
        <v>1977</v>
      </c>
      <c r="B114">
        <v>3</v>
      </c>
      <c r="C114">
        <v>4570.6000000000004</v>
      </c>
      <c r="D114">
        <v>2999.1</v>
      </c>
      <c r="E114">
        <v>670.7</v>
      </c>
      <c r="F114">
        <v>956</v>
      </c>
      <c r="G114">
        <v>3376.5</v>
      </c>
      <c r="H114">
        <v>184</v>
      </c>
      <c r="I114">
        <v>324.89999999999998</v>
      </c>
      <c r="J114">
        <v>5.47</v>
      </c>
      <c r="K114">
        <v>6.9</v>
      </c>
      <c r="L114">
        <v>219.20699999999999</v>
      </c>
      <c r="M114">
        <v>4.8113999999999999</v>
      </c>
      <c r="N114">
        <v>0.65859999999999996</v>
      </c>
    </row>
    <row r="115" spans="1:14">
      <c r="A115">
        <v>1977</v>
      </c>
      <c r="B115">
        <v>4</v>
      </c>
      <c r="C115">
        <v>4576.1000000000004</v>
      </c>
      <c r="D115">
        <v>3044</v>
      </c>
      <c r="E115">
        <v>656.4</v>
      </c>
      <c r="F115">
        <v>954.5</v>
      </c>
      <c r="G115">
        <v>3433.8</v>
      </c>
      <c r="H115">
        <v>186.1</v>
      </c>
      <c r="I115">
        <v>330.5</v>
      </c>
      <c r="J115">
        <v>6.14</v>
      </c>
      <c r="K115">
        <v>6.7</v>
      </c>
      <c r="L115">
        <v>219.761</v>
      </c>
      <c r="M115">
        <v>4.5393999999999997</v>
      </c>
      <c r="N115">
        <v>1.5972999999999999</v>
      </c>
    </row>
    <row r="116" spans="1:14">
      <c r="A116">
        <v>1978</v>
      </c>
      <c r="B116">
        <v>1</v>
      </c>
      <c r="C116">
        <v>4588.8999999999996</v>
      </c>
      <c r="D116">
        <v>3060.8</v>
      </c>
      <c r="E116">
        <v>667.2</v>
      </c>
      <c r="F116">
        <v>956.7</v>
      </c>
      <c r="G116">
        <v>3466.3</v>
      </c>
      <c r="H116">
        <v>189.8</v>
      </c>
      <c r="I116">
        <v>336.6</v>
      </c>
      <c r="J116">
        <v>6.41</v>
      </c>
      <c r="K116">
        <v>6.3</v>
      </c>
      <c r="L116">
        <v>220.34299999999999</v>
      </c>
      <c r="M116">
        <v>7.8746999999999998</v>
      </c>
      <c r="N116">
        <v>-1.4646999999999999</v>
      </c>
    </row>
    <row r="117" spans="1:14">
      <c r="A117">
        <v>1978</v>
      </c>
      <c r="B117">
        <v>2</v>
      </c>
      <c r="C117">
        <v>4765.7</v>
      </c>
      <c r="D117">
        <v>3127</v>
      </c>
      <c r="E117">
        <v>709.7</v>
      </c>
      <c r="F117">
        <v>982.1</v>
      </c>
      <c r="G117">
        <v>3513</v>
      </c>
      <c r="H117">
        <v>195.3</v>
      </c>
      <c r="I117">
        <v>347.1</v>
      </c>
      <c r="J117">
        <v>6.48</v>
      </c>
      <c r="K117">
        <v>6</v>
      </c>
      <c r="L117">
        <v>220.92599999999999</v>
      </c>
      <c r="M117">
        <v>11.426399999999999</v>
      </c>
      <c r="N117">
        <v>-4.9431000000000003</v>
      </c>
    </row>
    <row r="118" spans="1:14">
      <c r="A118">
        <v>1978</v>
      </c>
      <c r="B118">
        <v>3</v>
      </c>
      <c r="C118">
        <v>4811.7</v>
      </c>
      <c r="D118">
        <v>3143.1</v>
      </c>
      <c r="E118">
        <v>728.8</v>
      </c>
      <c r="F118">
        <v>990.3</v>
      </c>
      <c r="G118">
        <v>3548.1</v>
      </c>
      <c r="H118">
        <v>199.3</v>
      </c>
      <c r="I118">
        <v>352.7</v>
      </c>
      <c r="J118">
        <v>7.32</v>
      </c>
      <c r="K118">
        <v>6</v>
      </c>
      <c r="L118">
        <v>221.512</v>
      </c>
      <c r="M118">
        <v>8.1097999999999999</v>
      </c>
      <c r="N118">
        <v>-0.78979999999999995</v>
      </c>
    </row>
    <row r="119" spans="1:14">
      <c r="A119">
        <v>1978</v>
      </c>
      <c r="B119">
        <v>4</v>
      </c>
      <c r="C119">
        <v>4876</v>
      </c>
      <c r="D119">
        <v>3167.8</v>
      </c>
      <c r="E119">
        <v>746.3</v>
      </c>
      <c r="F119">
        <v>999.6</v>
      </c>
      <c r="G119">
        <v>3582.6</v>
      </c>
      <c r="H119">
        <v>202.9</v>
      </c>
      <c r="I119">
        <v>356.9</v>
      </c>
      <c r="J119">
        <v>8.68</v>
      </c>
      <c r="K119">
        <v>5.9</v>
      </c>
      <c r="L119">
        <v>222.09800000000001</v>
      </c>
      <c r="M119">
        <v>7.1608000000000001</v>
      </c>
      <c r="N119">
        <v>1.5192000000000001</v>
      </c>
    </row>
    <row r="120" spans="1:14">
      <c r="A120">
        <v>1979</v>
      </c>
      <c r="B120">
        <v>1</v>
      </c>
      <c r="C120">
        <v>4888.3</v>
      </c>
      <c r="D120">
        <v>3188.6</v>
      </c>
      <c r="E120">
        <v>746</v>
      </c>
      <c r="F120">
        <v>990.6</v>
      </c>
      <c r="G120">
        <v>3620.7</v>
      </c>
      <c r="H120">
        <v>209.1</v>
      </c>
      <c r="I120">
        <v>362.1</v>
      </c>
      <c r="J120">
        <v>9.36</v>
      </c>
      <c r="K120">
        <v>5.9</v>
      </c>
      <c r="L120">
        <v>222.71299999999999</v>
      </c>
      <c r="M120">
        <v>12.0397</v>
      </c>
      <c r="N120">
        <v>-2.6797</v>
      </c>
    </row>
    <row r="121" spans="1:14">
      <c r="A121">
        <v>1979</v>
      </c>
      <c r="B121">
        <v>2</v>
      </c>
      <c r="C121">
        <v>4891.3999999999996</v>
      </c>
      <c r="D121">
        <v>3184.3</v>
      </c>
      <c r="E121">
        <v>745.7</v>
      </c>
      <c r="F121">
        <v>1000.5</v>
      </c>
      <c r="G121">
        <v>3607.1</v>
      </c>
      <c r="H121">
        <v>216.6</v>
      </c>
      <c r="I121">
        <v>373.6</v>
      </c>
      <c r="J121">
        <v>9.3699999999999992</v>
      </c>
      <c r="K121">
        <v>5.7</v>
      </c>
      <c r="L121">
        <v>223.33</v>
      </c>
      <c r="M121">
        <v>14.0959</v>
      </c>
      <c r="N121">
        <v>-4.7225999999999999</v>
      </c>
    </row>
    <row r="122" spans="1:14">
      <c r="A122">
        <v>1979</v>
      </c>
      <c r="B122">
        <v>3</v>
      </c>
      <c r="C122">
        <v>4926.2</v>
      </c>
      <c r="D122">
        <v>3213.9</v>
      </c>
      <c r="E122">
        <v>732.1</v>
      </c>
      <c r="F122">
        <v>1002.4</v>
      </c>
      <c r="G122">
        <v>3628.8</v>
      </c>
      <c r="H122">
        <v>223.4</v>
      </c>
      <c r="I122">
        <v>379.7</v>
      </c>
      <c r="J122">
        <v>9.6300000000000008</v>
      </c>
      <c r="K122">
        <v>5.9</v>
      </c>
      <c r="L122">
        <v>223.94800000000001</v>
      </c>
      <c r="M122">
        <v>12.364599999999999</v>
      </c>
      <c r="N122">
        <v>-2.7313000000000001</v>
      </c>
    </row>
    <row r="123" spans="1:14">
      <c r="A123">
        <v>1979</v>
      </c>
      <c r="B123">
        <v>4</v>
      </c>
      <c r="C123">
        <v>4942.6000000000004</v>
      </c>
      <c r="D123">
        <v>3225.7</v>
      </c>
      <c r="E123">
        <v>717.8</v>
      </c>
      <c r="F123">
        <v>1010.8</v>
      </c>
      <c r="G123">
        <v>3657.8</v>
      </c>
      <c r="H123">
        <v>229.9</v>
      </c>
      <c r="I123">
        <v>381.4</v>
      </c>
      <c r="J123">
        <v>11.8</v>
      </c>
      <c r="K123">
        <v>6</v>
      </c>
      <c r="L123">
        <v>224.56899999999999</v>
      </c>
      <c r="M123">
        <v>11.472200000000001</v>
      </c>
      <c r="N123">
        <v>0.33110000000000001</v>
      </c>
    </row>
    <row r="124" spans="1:14">
      <c r="A124">
        <v>1980</v>
      </c>
      <c r="B124">
        <v>1</v>
      </c>
      <c r="C124">
        <v>4958.8999999999996</v>
      </c>
      <c r="D124">
        <v>3222.4</v>
      </c>
      <c r="E124">
        <v>711.7</v>
      </c>
      <c r="F124">
        <v>1025.5999999999999</v>
      </c>
      <c r="G124">
        <v>3678.5</v>
      </c>
      <c r="H124">
        <v>239.8</v>
      </c>
      <c r="I124">
        <v>388.1</v>
      </c>
      <c r="J124">
        <v>13.46</v>
      </c>
      <c r="K124">
        <v>6.3</v>
      </c>
      <c r="L124">
        <v>225.23</v>
      </c>
      <c r="M124">
        <v>16.8643</v>
      </c>
      <c r="N124">
        <v>-3.4009999999999998</v>
      </c>
    </row>
    <row r="125" spans="1:14">
      <c r="A125">
        <v>1980</v>
      </c>
      <c r="B125">
        <v>2</v>
      </c>
      <c r="C125">
        <v>4857.8</v>
      </c>
      <c r="D125">
        <v>3149.2</v>
      </c>
      <c r="E125">
        <v>647.4</v>
      </c>
      <c r="F125">
        <v>1028.7</v>
      </c>
      <c r="G125">
        <v>3612.2</v>
      </c>
      <c r="H125">
        <v>247.6</v>
      </c>
      <c r="I125">
        <v>389.4</v>
      </c>
      <c r="J125">
        <v>10.050000000000001</v>
      </c>
      <c r="K125">
        <v>7.3</v>
      </c>
      <c r="L125">
        <v>225.893</v>
      </c>
      <c r="M125">
        <v>12.803699999999999</v>
      </c>
      <c r="N125">
        <v>-2.7536999999999998</v>
      </c>
    </row>
    <row r="126" spans="1:14">
      <c r="A126">
        <v>1980</v>
      </c>
      <c r="B126">
        <v>3</v>
      </c>
      <c r="C126">
        <v>4850.3</v>
      </c>
      <c r="D126">
        <v>3181.2</v>
      </c>
      <c r="E126">
        <v>599.79999999999995</v>
      </c>
      <c r="F126">
        <v>1015.4</v>
      </c>
      <c r="G126">
        <v>3637.6</v>
      </c>
      <c r="H126">
        <v>251.7</v>
      </c>
      <c r="I126">
        <v>405.4</v>
      </c>
      <c r="J126">
        <v>9.24</v>
      </c>
      <c r="K126">
        <v>7.7</v>
      </c>
      <c r="L126">
        <v>226.55799999999999</v>
      </c>
      <c r="M126">
        <v>6.5693000000000001</v>
      </c>
      <c r="N126">
        <v>2.6673</v>
      </c>
    </row>
    <row r="127" spans="1:14">
      <c r="A127">
        <v>1980</v>
      </c>
      <c r="B127">
        <v>4</v>
      </c>
      <c r="C127">
        <v>4936.6000000000004</v>
      </c>
      <c r="D127">
        <v>3219.4</v>
      </c>
      <c r="E127">
        <v>662.2</v>
      </c>
      <c r="F127">
        <v>1013.9</v>
      </c>
      <c r="G127">
        <v>3703.8</v>
      </c>
      <c r="H127">
        <v>258.39999999999998</v>
      </c>
      <c r="I127">
        <v>408.1</v>
      </c>
      <c r="J127">
        <v>13.71</v>
      </c>
      <c r="K127">
        <v>7.4</v>
      </c>
      <c r="L127">
        <v>227.22499999999999</v>
      </c>
      <c r="M127">
        <v>10.5083</v>
      </c>
      <c r="N127">
        <v>3.2017000000000002</v>
      </c>
    </row>
    <row r="128" spans="1:14">
      <c r="A128">
        <v>1981</v>
      </c>
      <c r="B128">
        <v>1</v>
      </c>
      <c r="C128">
        <v>5032.5</v>
      </c>
      <c r="D128">
        <v>3233.1</v>
      </c>
      <c r="E128">
        <v>726.3</v>
      </c>
      <c r="F128">
        <v>1027.5</v>
      </c>
      <c r="G128">
        <v>3713.5</v>
      </c>
      <c r="H128">
        <v>265.10000000000002</v>
      </c>
      <c r="I128">
        <v>418.7</v>
      </c>
      <c r="J128">
        <v>14.37</v>
      </c>
      <c r="K128">
        <v>7.4</v>
      </c>
      <c r="L128">
        <v>227.78299999999999</v>
      </c>
      <c r="M128">
        <v>10.2393</v>
      </c>
      <c r="N128">
        <v>4.1340000000000003</v>
      </c>
    </row>
    <row r="129" spans="1:14">
      <c r="A129">
        <v>1981</v>
      </c>
      <c r="B129">
        <v>2</v>
      </c>
      <c r="C129">
        <v>4997.3</v>
      </c>
      <c r="D129">
        <v>3235.5</v>
      </c>
      <c r="E129">
        <v>693.4</v>
      </c>
      <c r="F129">
        <v>1030.0999999999999</v>
      </c>
      <c r="G129">
        <v>3696.6</v>
      </c>
      <c r="H129">
        <v>271.3</v>
      </c>
      <c r="I129">
        <v>425.5</v>
      </c>
      <c r="J129">
        <v>14.83</v>
      </c>
      <c r="K129">
        <v>7.4</v>
      </c>
      <c r="L129">
        <v>228.34200000000001</v>
      </c>
      <c r="M129">
        <v>9.2471999999999994</v>
      </c>
      <c r="N129">
        <v>5.5795000000000003</v>
      </c>
    </row>
    <row r="130" spans="1:14">
      <c r="A130">
        <v>1981</v>
      </c>
      <c r="B130">
        <v>3</v>
      </c>
      <c r="C130">
        <v>5056.8</v>
      </c>
      <c r="D130">
        <v>3250.5</v>
      </c>
      <c r="E130">
        <v>733.9</v>
      </c>
      <c r="F130">
        <v>1027.8</v>
      </c>
      <c r="G130">
        <v>3777</v>
      </c>
      <c r="H130">
        <v>279.3</v>
      </c>
      <c r="I130">
        <v>427.5</v>
      </c>
      <c r="J130">
        <v>15.09</v>
      </c>
      <c r="K130">
        <v>7.4</v>
      </c>
      <c r="L130">
        <v>228.90299999999999</v>
      </c>
      <c r="M130">
        <v>11.624499999999999</v>
      </c>
      <c r="N130">
        <v>3.4622000000000002</v>
      </c>
    </row>
    <row r="131" spans="1:14">
      <c r="A131">
        <v>1981</v>
      </c>
      <c r="B131">
        <v>4</v>
      </c>
      <c r="C131">
        <v>4997.1000000000004</v>
      </c>
      <c r="D131">
        <v>3225</v>
      </c>
      <c r="E131">
        <v>708.8</v>
      </c>
      <c r="F131">
        <v>1034.8</v>
      </c>
      <c r="G131">
        <v>3777.2</v>
      </c>
      <c r="H131">
        <v>281.5</v>
      </c>
      <c r="I131">
        <v>436.2</v>
      </c>
      <c r="J131">
        <v>12.02</v>
      </c>
      <c r="K131">
        <v>8.1999999999999993</v>
      </c>
      <c r="L131">
        <v>229.46600000000001</v>
      </c>
      <c r="M131">
        <v>3.1383999999999999</v>
      </c>
      <c r="N131">
        <v>8.8849</v>
      </c>
    </row>
    <row r="132" spans="1:14">
      <c r="A132">
        <v>1982</v>
      </c>
      <c r="B132">
        <v>1</v>
      </c>
      <c r="C132">
        <v>4914.3</v>
      </c>
      <c r="D132">
        <v>3244.3</v>
      </c>
      <c r="E132">
        <v>634.79999999999995</v>
      </c>
      <c r="F132">
        <v>1033.5999999999999</v>
      </c>
      <c r="G132">
        <v>3769.4</v>
      </c>
      <c r="H132">
        <v>283.10000000000002</v>
      </c>
      <c r="I132">
        <v>442.4</v>
      </c>
      <c r="J132">
        <v>12.89</v>
      </c>
      <c r="K132">
        <v>8.8000000000000007</v>
      </c>
      <c r="L132">
        <v>230.01300000000001</v>
      </c>
      <c r="M132">
        <v>2.2671000000000001</v>
      </c>
      <c r="N132">
        <v>10.626200000000001</v>
      </c>
    </row>
    <row r="133" spans="1:14">
      <c r="A133">
        <v>1982</v>
      </c>
      <c r="B133">
        <v>2</v>
      </c>
      <c r="C133">
        <v>4935.5</v>
      </c>
      <c r="D133">
        <v>3253.4</v>
      </c>
      <c r="E133">
        <v>631.6</v>
      </c>
      <c r="F133">
        <v>1039.5</v>
      </c>
      <c r="G133">
        <v>3791.4</v>
      </c>
      <c r="H133">
        <v>290.60000000000002</v>
      </c>
      <c r="I133">
        <v>447.9</v>
      </c>
      <c r="J133">
        <v>12.36</v>
      </c>
      <c r="K133">
        <v>9.4</v>
      </c>
      <c r="L133">
        <v>230.56200000000001</v>
      </c>
      <c r="M133">
        <v>10.459</v>
      </c>
      <c r="N133">
        <v>1.901</v>
      </c>
    </row>
    <row r="134" spans="1:14">
      <c r="A134">
        <v>1982</v>
      </c>
      <c r="B134">
        <v>3</v>
      </c>
      <c r="C134">
        <v>4912.1000000000004</v>
      </c>
      <c r="D134">
        <v>3274.6</v>
      </c>
      <c r="E134">
        <v>623.5</v>
      </c>
      <c r="F134">
        <v>1046.8</v>
      </c>
      <c r="G134">
        <v>3799.4</v>
      </c>
      <c r="H134">
        <v>293.3</v>
      </c>
      <c r="I134">
        <v>457.5</v>
      </c>
      <c r="J134">
        <v>9.7100000000000009</v>
      </c>
      <c r="K134">
        <v>9.9</v>
      </c>
      <c r="L134">
        <v>231.113</v>
      </c>
      <c r="M134">
        <v>3.6993</v>
      </c>
      <c r="N134">
        <v>6.0106999999999999</v>
      </c>
    </row>
    <row r="135" spans="1:14">
      <c r="A135">
        <v>1982</v>
      </c>
      <c r="B135">
        <v>4</v>
      </c>
      <c r="C135">
        <v>4915.6000000000004</v>
      </c>
      <c r="D135">
        <v>3329.6</v>
      </c>
      <c r="E135">
        <v>571.1</v>
      </c>
      <c r="F135">
        <v>1064</v>
      </c>
      <c r="G135">
        <v>3806.4</v>
      </c>
      <c r="H135">
        <v>292.39999999999998</v>
      </c>
      <c r="I135">
        <v>474.3</v>
      </c>
      <c r="J135">
        <v>7.94</v>
      </c>
      <c r="K135">
        <v>10.7</v>
      </c>
      <c r="L135">
        <v>231.66399999999999</v>
      </c>
      <c r="M135">
        <v>-1.2293000000000001</v>
      </c>
      <c r="N135">
        <v>9.1660000000000004</v>
      </c>
    </row>
    <row r="136" spans="1:14">
      <c r="A136">
        <v>1983</v>
      </c>
      <c r="B136">
        <v>1</v>
      </c>
      <c r="C136">
        <v>4972.3999999999996</v>
      </c>
      <c r="D136">
        <v>3360.1</v>
      </c>
      <c r="E136">
        <v>590.70000000000005</v>
      </c>
      <c r="F136">
        <v>1069.8</v>
      </c>
      <c r="G136">
        <v>3831.2</v>
      </c>
      <c r="H136">
        <v>293.39999999999998</v>
      </c>
      <c r="I136">
        <v>490.2</v>
      </c>
      <c r="J136">
        <v>8.08</v>
      </c>
      <c r="K136">
        <v>10.4</v>
      </c>
      <c r="L136">
        <v>232.19499999999999</v>
      </c>
      <c r="M136">
        <v>1.3656999999999999</v>
      </c>
      <c r="N136">
        <v>6.7142999999999997</v>
      </c>
    </row>
    <row r="137" spans="1:14">
      <c r="A137">
        <v>1983</v>
      </c>
      <c r="B137">
        <v>2</v>
      </c>
      <c r="C137">
        <v>5089.8</v>
      </c>
      <c r="D137">
        <v>3430.1</v>
      </c>
      <c r="E137">
        <v>650.70000000000005</v>
      </c>
      <c r="F137">
        <v>1078.2</v>
      </c>
      <c r="G137">
        <v>3857.8</v>
      </c>
      <c r="H137">
        <v>298.10000000000002</v>
      </c>
      <c r="I137">
        <v>504.4</v>
      </c>
      <c r="J137">
        <v>8.42</v>
      </c>
      <c r="K137">
        <v>10.1</v>
      </c>
      <c r="L137">
        <v>232.726</v>
      </c>
      <c r="M137">
        <v>6.3569000000000004</v>
      </c>
      <c r="N137">
        <v>2.0630999999999999</v>
      </c>
    </row>
    <row r="138" spans="1:14">
      <c r="A138">
        <v>1983</v>
      </c>
      <c r="B138">
        <v>3</v>
      </c>
      <c r="C138">
        <v>5180.3999999999996</v>
      </c>
      <c r="D138">
        <v>3484.7</v>
      </c>
      <c r="E138">
        <v>691.4</v>
      </c>
      <c r="F138">
        <v>1097</v>
      </c>
      <c r="G138">
        <v>3928.6</v>
      </c>
      <c r="H138">
        <v>301.8</v>
      </c>
      <c r="I138">
        <v>513.4</v>
      </c>
      <c r="J138">
        <v>9.19</v>
      </c>
      <c r="K138">
        <v>9.4</v>
      </c>
      <c r="L138">
        <v>233.25800000000001</v>
      </c>
      <c r="M138">
        <v>4.9341999999999997</v>
      </c>
      <c r="N138">
        <v>4.2525000000000004</v>
      </c>
    </row>
    <row r="139" spans="1:14">
      <c r="A139">
        <v>1983</v>
      </c>
      <c r="B139">
        <v>4</v>
      </c>
      <c r="C139">
        <v>5286.8</v>
      </c>
      <c r="D139">
        <v>3542.2</v>
      </c>
      <c r="E139">
        <v>762.2</v>
      </c>
      <c r="F139">
        <v>1078.8</v>
      </c>
      <c r="G139">
        <v>4010.2</v>
      </c>
      <c r="H139">
        <v>303.5</v>
      </c>
      <c r="I139">
        <v>520.79999999999995</v>
      </c>
      <c r="J139">
        <v>8.7899999999999991</v>
      </c>
      <c r="K139">
        <v>8.5</v>
      </c>
      <c r="L139">
        <v>233.792</v>
      </c>
      <c r="M139">
        <v>2.2467999999999999</v>
      </c>
      <c r="N139">
        <v>6.5465</v>
      </c>
    </row>
    <row r="140" spans="1:14">
      <c r="A140">
        <v>1984</v>
      </c>
      <c r="B140">
        <v>1</v>
      </c>
      <c r="C140">
        <v>5402.3</v>
      </c>
      <c r="D140">
        <v>3579.7</v>
      </c>
      <c r="E140">
        <v>845</v>
      </c>
      <c r="F140">
        <v>1091</v>
      </c>
      <c r="G140">
        <v>4103</v>
      </c>
      <c r="H140">
        <v>307.3</v>
      </c>
      <c r="I140">
        <v>530.79999999999995</v>
      </c>
      <c r="J140">
        <v>9.01</v>
      </c>
      <c r="K140">
        <v>7.9</v>
      </c>
      <c r="L140">
        <v>234.29900000000001</v>
      </c>
      <c r="M140">
        <v>4.9771000000000001</v>
      </c>
      <c r="N140">
        <v>4.0362</v>
      </c>
    </row>
    <row r="141" spans="1:14">
      <c r="A141">
        <v>1984</v>
      </c>
      <c r="B141">
        <v>2</v>
      </c>
      <c r="C141">
        <v>5493.8</v>
      </c>
      <c r="D141">
        <v>3628.3</v>
      </c>
      <c r="E141">
        <v>873.2</v>
      </c>
      <c r="F141">
        <v>1115.2</v>
      </c>
      <c r="G141">
        <v>4182.3999999999996</v>
      </c>
      <c r="H141">
        <v>310.7</v>
      </c>
      <c r="I141">
        <v>540.5</v>
      </c>
      <c r="J141">
        <v>9.84</v>
      </c>
      <c r="K141">
        <v>7.4</v>
      </c>
      <c r="L141">
        <v>234.80600000000001</v>
      </c>
      <c r="M141">
        <v>4.4013</v>
      </c>
      <c r="N141">
        <v>5.4420000000000002</v>
      </c>
    </row>
    <row r="142" spans="1:14">
      <c r="A142">
        <v>1984</v>
      </c>
      <c r="B142">
        <v>3</v>
      </c>
      <c r="C142">
        <v>5541.3</v>
      </c>
      <c r="D142">
        <v>3653.5</v>
      </c>
      <c r="E142">
        <v>890.7</v>
      </c>
      <c r="F142">
        <v>1123.0999999999999</v>
      </c>
      <c r="G142">
        <v>4258.8</v>
      </c>
      <c r="H142">
        <v>314.5</v>
      </c>
      <c r="I142">
        <v>543.9</v>
      </c>
      <c r="J142">
        <v>10.34</v>
      </c>
      <c r="K142">
        <v>7.4</v>
      </c>
      <c r="L142">
        <v>235.315</v>
      </c>
      <c r="M142">
        <v>4.8624999999999998</v>
      </c>
      <c r="N142">
        <v>5.4808000000000003</v>
      </c>
    </row>
    <row r="143" spans="1:14">
      <c r="A143">
        <v>1984</v>
      </c>
      <c r="B143">
        <v>4</v>
      </c>
      <c r="C143">
        <v>5583.1</v>
      </c>
      <c r="D143">
        <v>3700.9</v>
      </c>
      <c r="E143">
        <v>876.9</v>
      </c>
      <c r="F143">
        <v>1144.2</v>
      </c>
      <c r="G143">
        <v>4286.1000000000004</v>
      </c>
      <c r="H143">
        <v>315.5</v>
      </c>
      <c r="I143">
        <v>551.20000000000005</v>
      </c>
      <c r="J143">
        <v>8.9700000000000006</v>
      </c>
      <c r="K143">
        <v>7.3</v>
      </c>
      <c r="L143">
        <v>235.82499999999999</v>
      </c>
      <c r="M143">
        <v>1.2698</v>
      </c>
      <c r="N143">
        <v>7.7035</v>
      </c>
    </row>
    <row r="144" spans="1:14">
      <c r="A144">
        <v>1985</v>
      </c>
      <c r="B144">
        <v>1</v>
      </c>
      <c r="C144">
        <v>5629.7</v>
      </c>
      <c r="D144">
        <v>3756.8</v>
      </c>
      <c r="E144">
        <v>848.9</v>
      </c>
      <c r="F144">
        <v>1157.5999999999999</v>
      </c>
      <c r="G144">
        <v>4287.6000000000004</v>
      </c>
      <c r="H144">
        <v>318.8</v>
      </c>
      <c r="I144">
        <v>565.70000000000005</v>
      </c>
      <c r="J144">
        <v>8.17</v>
      </c>
      <c r="K144">
        <v>7.2</v>
      </c>
      <c r="L144">
        <v>236.34800000000001</v>
      </c>
      <c r="M144">
        <v>4.1620999999999997</v>
      </c>
      <c r="N144">
        <v>4.0045999999999999</v>
      </c>
    </row>
    <row r="145" spans="1:14">
      <c r="A145">
        <v>1985</v>
      </c>
      <c r="B145">
        <v>2</v>
      </c>
      <c r="C145">
        <v>5673.8</v>
      </c>
      <c r="D145">
        <v>3791.5</v>
      </c>
      <c r="E145">
        <v>862.8</v>
      </c>
      <c r="F145">
        <v>1180.5</v>
      </c>
      <c r="G145">
        <v>4368.7</v>
      </c>
      <c r="H145">
        <v>322.3</v>
      </c>
      <c r="I145">
        <v>582.9</v>
      </c>
      <c r="J145">
        <v>7.52</v>
      </c>
      <c r="K145">
        <v>7.3</v>
      </c>
      <c r="L145">
        <v>236.87200000000001</v>
      </c>
      <c r="M145">
        <v>4.3674999999999997</v>
      </c>
      <c r="N145">
        <v>3.1558000000000002</v>
      </c>
    </row>
    <row r="146" spans="1:14">
      <c r="A146">
        <v>1985</v>
      </c>
      <c r="B146">
        <v>3</v>
      </c>
      <c r="C146">
        <v>5758.6</v>
      </c>
      <c r="D146">
        <v>3860.9</v>
      </c>
      <c r="E146">
        <v>854.1</v>
      </c>
      <c r="F146">
        <v>1209.2</v>
      </c>
      <c r="G146">
        <v>4346.6000000000004</v>
      </c>
      <c r="H146">
        <v>324.5</v>
      </c>
      <c r="I146">
        <v>604.4</v>
      </c>
      <c r="J146">
        <v>7.1</v>
      </c>
      <c r="K146">
        <v>7.2</v>
      </c>
      <c r="L146">
        <v>237.39699999999999</v>
      </c>
      <c r="M146">
        <v>2.7210999999999999</v>
      </c>
      <c r="N146">
        <v>4.3822000000000001</v>
      </c>
    </row>
    <row r="147" spans="1:14">
      <c r="A147">
        <v>1985</v>
      </c>
      <c r="B147">
        <v>4</v>
      </c>
      <c r="C147">
        <v>5806</v>
      </c>
      <c r="D147">
        <v>3874.2</v>
      </c>
      <c r="E147">
        <v>887.8</v>
      </c>
      <c r="F147">
        <v>1214.7</v>
      </c>
      <c r="G147">
        <v>4388.3</v>
      </c>
      <c r="H147">
        <v>327.39999999999998</v>
      </c>
      <c r="I147">
        <v>619.1</v>
      </c>
      <c r="J147">
        <v>7.15</v>
      </c>
      <c r="K147">
        <v>7</v>
      </c>
      <c r="L147">
        <v>237.92400000000001</v>
      </c>
      <c r="M147">
        <v>3.5589</v>
      </c>
      <c r="N147">
        <v>3.5878000000000001</v>
      </c>
    </row>
    <row r="148" spans="1:14">
      <c r="A148">
        <v>1986</v>
      </c>
      <c r="B148">
        <v>1</v>
      </c>
      <c r="C148">
        <v>5858.9</v>
      </c>
      <c r="D148">
        <v>3907.9</v>
      </c>
      <c r="E148">
        <v>886.2</v>
      </c>
      <c r="F148">
        <v>1224</v>
      </c>
      <c r="G148">
        <v>4444.5</v>
      </c>
      <c r="H148">
        <v>326</v>
      </c>
      <c r="I148">
        <v>632.6</v>
      </c>
      <c r="J148">
        <v>6.89</v>
      </c>
      <c r="K148">
        <v>7</v>
      </c>
      <c r="L148">
        <v>238.47399999999999</v>
      </c>
      <c r="M148">
        <v>-1.7141</v>
      </c>
      <c r="N148">
        <v>8.6007999999999996</v>
      </c>
    </row>
    <row r="149" spans="1:14">
      <c r="A149">
        <v>1986</v>
      </c>
      <c r="B149">
        <v>2</v>
      </c>
      <c r="C149">
        <v>5883.3</v>
      </c>
      <c r="D149">
        <v>3950.4</v>
      </c>
      <c r="E149">
        <v>868.3</v>
      </c>
      <c r="F149">
        <v>1248</v>
      </c>
      <c r="G149">
        <v>4489.3</v>
      </c>
      <c r="H149">
        <v>327.9</v>
      </c>
      <c r="I149">
        <v>661.2</v>
      </c>
      <c r="J149">
        <v>6.13</v>
      </c>
      <c r="K149">
        <v>7.2</v>
      </c>
      <c r="L149">
        <v>239.02600000000001</v>
      </c>
      <c r="M149">
        <v>2.3245</v>
      </c>
      <c r="N149">
        <v>3.8054999999999999</v>
      </c>
    </row>
    <row r="150" spans="1:14">
      <c r="A150">
        <v>1986</v>
      </c>
      <c r="B150">
        <v>3</v>
      </c>
      <c r="C150">
        <v>5937.9</v>
      </c>
      <c r="D150">
        <v>4019.7</v>
      </c>
      <c r="E150">
        <v>838</v>
      </c>
      <c r="F150">
        <v>1277.4000000000001</v>
      </c>
      <c r="G150">
        <v>4507.8999999999996</v>
      </c>
      <c r="H150">
        <v>330.2</v>
      </c>
      <c r="I150">
        <v>688.4</v>
      </c>
      <c r="J150">
        <v>5.53</v>
      </c>
      <c r="K150">
        <v>7</v>
      </c>
      <c r="L150">
        <v>239.57900000000001</v>
      </c>
      <c r="M150">
        <v>2.7959000000000001</v>
      </c>
      <c r="N150">
        <v>2.7374000000000001</v>
      </c>
    </row>
    <row r="151" spans="1:14">
      <c r="A151">
        <v>1986</v>
      </c>
      <c r="B151">
        <v>4</v>
      </c>
      <c r="C151">
        <v>5969.5</v>
      </c>
      <c r="D151">
        <v>4046.8</v>
      </c>
      <c r="E151">
        <v>838.2</v>
      </c>
      <c r="F151">
        <v>1271.5</v>
      </c>
      <c r="G151">
        <v>4504.5</v>
      </c>
      <c r="H151">
        <v>331.1</v>
      </c>
      <c r="I151">
        <v>724</v>
      </c>
      <c r="J151">
        <v>5.34</v>
      </c>
      <c r="K151">
        <v>6.8</v>
      </c>
      <c r="L151">
        <v>240.13300000000001</v>
      </c>
      <c r="M151">
        <v>1.0888</v>
      </c>
      <c r="N151">
        <v>4.2511999999999999</v>
      </c>
    </row>
    <row r="152" spans="1:14">
      <c r="A152">
        <v>1987</v>
      </c>
      <c r="B152">
        <v>1</v>
      </c>
      <c r="C152">
        <v>6013.3</v>
      </c>
      <c r="D152">
        <v>4049.7</v>
      </c>
      <c r="E152">
        <v>863.4</v>
      </c>
      <c r="F152">
        <v>1278.4000000000001</v>
      </c>
      <c r="G152">
        <v>4556.8999999999996</v>
      </c>
      <c r="H152">
        <v>335.9</v>
      </c>
      <c r="I152">
        <v>732.8</v>
      </c>
      <c r="J152">
        <v>5.53</v>
      </c>
      <c r="K152">
        <v>6.6</v>
      </c>
      <c r="L152">
        <v>240.67</v>
      </c>
      <c r="M152">
        <v>5.7572000000000001</v>
      </c>
      <c r="N152">
        <v>-0.22389999999999999</v>
      </c>
    </row>
    <row r="153" spans="1:14">
      <c r="A153">
        <v>1987</v>
      </c>
      <c r="B153">
        <v>2</v>
      </c>
      <c r="C153">
        <v>6077.2</v>
      </c>
      <c r="D153">
        <v>4101.5</v>
      </c>
      <c r="E153">
        <v>863.9</v>
      </c>
      <c r="F153">
        <v>1289.0999999999999</v>
      </c>
      <c r="G153">
        <v>4512.7</v>
      </c>
      <c r="H153">
        <v>340.1</v>
      </c>
      <c r="I153">
        <v>743.5</v>
      </c>
      <c r="J153">
        <v>5.73</v>
      </c>
      <c r="K153">
        <v>6.3</v>
      </c>
      <c r="L153">
        <v>241.208</v>
      </c>
      <c r="M153">
        <v>4.9705000000000004</v>
      </c>
      <c r="N153">
        <v>0.76290000000000002</v>
      </c>
    </row>
    <row r="154" spans="1:14">
      <c r="A154">
        <v>1987</v>
      </c>
      <c r="B154">
        <v>3</v>
      </c>
      <c r="C154">
        <v>6128.1</v>
      </c>
      <c r="D154">
        <v>4147</v>
      </c>
      <c r="E154">
        <v>860.5</v>
      </c>
      <c r="F154">
        <v>1292.4000000000001</v>
      </c>
      <c r="G154">
        <v>4600.7</v>
      </c>
      <c r="H154">
        <v>344.4</v>
      </c>
      <c r="I154">
        <v>748.5</v>
      </c>
      <c r="J154">
        <v>6.03</v>
      </c>
      <c r="K154">
        <v>6</v>
      </c>
      <c r="L154">
        <v>241.74799999999999</v>
      </c>
      <c r="M154">
        <v>5.0255999999999998</v>
      </c>
      <c r="N154">
        <v>1.0077</v>
      </c>
    </row>
    <row r="155" spans="1:14">
      <c r="A155">
        <v>1987</v>
      </c>
      <c r="B155">
        <v>4</v>
      </c>
      <c r="C155">
        <v>6234.4</v>
      </c>
      <c r="D155">
        <v>4155.3</v>
      </c>
      <c r="E155">
        <v>929.3</v>
      </c>
      <c r="F155">
        <v>1310</v>
      </c>
      <c r="G155">
        <v>4659.6000000000004</v>
      </c>
      <c r="H155">
        <v>345.7</v>
      </c>
      <c r="I155">
        <v>749.4</v>
      </c>
      <c r="J155">
        <v>6</v>
      </c>
      <c r="K155">
        <v>5.8</v>
      </c>
      <c r="L155">
        <v>242.28899999999999</v>
      </c>
      <c r="M155">
        <v>1.5069999999999999</v>
      </c>
      <c r="N155">
        <v>4.4962999999999997</v>
      </c>
    </row>
    <row r="156" spans="1:14">
      <c r="A156">
        <v>1988</v>
      </c>
      <c r="B156">
        <v>1</v>
      </c>
      <c r="C156">
        <v>6275.9</v>
      </c>
      <c r="D156">
        <v>4228</v>
      </c>
      <c r="E156">
        <v>884.6</v>
      </c>
      <c r="F156">
        <v>1300.0999999999999</v>
      </c>
      <c r="G156">
        <v>4724.1000000000004</v>
      </c>
      <c r="H156">
        <v>349</v>
      </c>
      <c r="I156">
        <v>761.1</v>
      </c>
      <c r="J156">
        <v>5.76</v>
      </c>
      <c r="K156">
        <v>5.7</v>
      </c>
      <c r="L156">
        <v>242.84</v>
      </c>
      <c r="M156">
        <v>3.8001999999999998</v>
      </c>
      <c r="N156">
        <v>1.9598</v>
      </c>
    </row>
    <row r="157" spans="1:14">
      <c r="A157">
        <v>1988</v>
      </c>
      <c r="B157">
        <v>2</v>
      </c>
      <c r="C157">
        <v>6349.8</v>
      </c>
      <c r="D157">
        <v>4256.8</v>
      </c>
      <c r="E157">
        <v>902.5</v>
      </c>
      <c r="F157">
        <v>1302.4000000000001</v>
      </c>
      <c r="G157">
        <v>4758.8999999999996</v>
      </c>
      <c r="H157">
        <v>353.5</v>
      </c>
      <c r="I157">
        <v>778.8</v>
      </c>
      <c r="J157">
        <v>6.23</v>
      </c>
      <c r="K157">
        <v>5.5</v>
      </c>
      <c r="L157">
        <v>243.39099999999999</v>
      </c>
      <c r="M157">
        <v>5.1246</v>
      </c>
      <c r="N157">
        <v>1.1053999999999999</v>
      </c>
    </row>
    <row r="158" spans="1:14">
      <c r="A158">
        <v>1988</v>
      </c>
      <c r="B158">
        <v>3</v>
      </c>
      <c r="C158">
        <v>6382.3</v>
      </c>
      <c r="D158">
        <v>4291.6000000000004</v>
      </c>
      <c r="E158">
        <v>907.5</v>
      </c>
      <c r="F158">
        <v>1300.3</v>
      </c>
      <c r="G158">
        <v>4801.8999999999996</v>
      </c>
      <c r="H158">
        <v>358.9</v>
      </c>
      <c r="I158">
        <v>784.6</v>
      </c>
      <c r="J158">
        <v>6.99</v>
      </c>
      <c r="K158">
        <v>5.5</v>
      </c>
      <c r="L158">
        <v>243.94499999999999</v>
      </c>
      <c r="M158">
        <v>6.0640999999999998</v>
      </c>
      <c r="N158">
        <v>0.92920000000000003</v>
      </c>
    </row>
    <row r="159" spans="1:14">
      <c r="A159">
        <v>1988</v>
      </c>
      <c r="B159">
        <v>4</v>
      </c>
      <c r="C159">
        <v>6465.2</v>
      </c>
      <c r="D159">
        <v>4341.3999999999996</v>
      </c>
      <c r="E159">
        <v>916.7</v>
      </c>
      <c r="F159">
        <v>1327.2</v>
      </c>
      <c r="G159">
        <v>4851.3999999999996</v>
      </c>
      <c r="H159">
        <v>360.9</v>
      </c>
      <c r="I159">
        <v>786.1</v>
      </c>
      <c r="J159">
        <v>7.7</v>
      </c>
      <c r="K159">
        <v>5.3</v>
      </c>
      <c r="L159">
        <v>244.499</v>
      </c>
      <c r="M159">
        <v>2.2227999999999999</v>
      </c>
      <c r="N159">
        <v>5.4805000000000001</v>
      </c>
    </row>
    <row r="160" spans="1:14">
      <c r="A160">
        <v>1989</v>
      </c>
      <c r="B160">
        <v>1</v>
      </c>
      <c r="C160">
        <v>6543.8</v>
      </c>
      <c r="D160">
        <v>4357.1000000000004</v>
      </c>
      <c r="E160">
        <v>952.7</v>
      </c>
      <c r="F160">
        <v>1319.3</v>
      </c>
      <c r="G160">
        <v>4903.5</v>
      </c>
      <c r="H160">
        <v>366.2</v>
      </c>
      <c r="I160">
        <v>782.7</v>
      </c>
      <c r="J160">
        <v>8.5299999999999994</v>
      </c>
      <c r="K160">
        <v>5.2</v>
      </c>
      <c r="L160">
        <v>245.077</v>
      </c>
      <c r="M160">
        <v>5.8315000000000001</v>
      </c>
      <c r="N160">
        <v>2.7018</v>
      </c>
    </row>
    <row r="161" spans="1:14">
      <c r="A161">
        <v>1989</v>
      </c>
      <c r="B161">
        <v>2</v>
      </c>
      <c r="C161">
        <v>6579.4</v>
      </c>
      <c r="D161">
        <v>4374.8</v>
      </c>
      <c r="E161">
        <v>941.1</v>
      </c>
      <c r="F161">
        <v>1340.6</v>
      </c>
      <c r="G161">
        <v>4891</v>
      </c>
      <c r="H161">
        <v>371.7</v>
      </c>
      <c r="I161">
        <v>773.9</v>
      </c>
      <c r="J161">
        <v>8.44</v>
      </c>
      <c r="K161">
        <v>5.2</v>
      </c>
      <c r="L161">
        <v>245.65600000000001</v>
      </c>
      <c r="M161">
        <v>5.9630000000000001</v>
      </c>
      <c r="N161">
        <v>2.4769999999999999</v>
      </c>
    </row>
    <row r="162" spans="1:14">
      <c r="A162">
        <v>1989</v>
      </c>
      <c r="B162">
        <v>3</v>
      </c>
      <c r="C162">
        <v>6610.6</v>
      </c>
      <c r="D162">
        <v>4413.3999999999996</v>
      </c>
      <c r="E162">
        <v>929.3</v>
      </c>
      <c r="F162">
        <v>1353.5</v>
      </c>
      <c r="G162">
        <v>4902.7</v>
      </c>
      <c r="H162">
        <v>374.6</v>
      </c>
      <c r="I162">
        <v>782</v>
      </c>
      <c r="J162">
        <v>7.85</v>
      </c>
      <c r="K162">
        <v>5.2</v>
      </c>
      <c r="L162">
        <v>246.23699999999999</v>
      </c>
      <c r="M162">
        <v>3.1086999999999998</v>
      </c>
      <c r="N162">
        <v>4.7412999999999998</v>
      </c>
    </row>
    <row r="163" spans="1:14">
      <c r="A163">
        <v>1989</v>
      </c>
      <c r="B163">
        <v>4</v>
      </c>
      <c r="C163">
        <v>6633.5</v>
      </c>
      <c r="D163">
        <v>4429.3999999999996</v>
      </c>
      <c r="E163">
        <v>922.9</v>
      </c>
      <c r="F163">
        <v>1360.4</v>
      </c>
      <c r="G163">
        <v>4928.8</v>
      </c>
      <c r="H163">
        <v>377.6</v>
      </c>
      <c r="I163">
        <v>792.1</v>
      </c>
      <c r="J163">
        <v>7.64</v>
      </c>
      <c r="K163">
        <v>5.4</v>
      </c>
      <c r="L163">
        <v>246.81899999999999</v>
      </c>
      <c r="M163">
        <v>3.1907000000000001</v>
      </c>
      <c r="N163">
        <v>4.4493</v>
      </c>
    </row>
    <row r="164" spans="1:14">
      <c r="A164">
        <v>1990</v>
      </c>
      <c r="B164">
        <v>1</v>
      </c>
      <c r="C164">
        <v>6716.3</v>
      </c>
      <c r="D164">
        <v>4466</v>
      </c>
      <c r="E164">
        <v>934</v>
      </c>
      <c r="F164">
        <v>1381.2</v>
      </c>
      <c r="G164">
        <v>5001.6000000000004</v>
      </c>
      <c r="H164">
        <v>385.5</v>
      </c>
      <c r="I164">
        <v>800.8</v>
      </c>
      <c r="J164">
        <v>7.76</v>
      </c>
      <c r="K164">
        <v>5.3</v>
      </c>
      <c r="L164">
        <v>247.47800000000001</v>
      </c>
      <c r="M164">
        <v>8.2822999999999993</v>
      </c>
      <c r="N164">
        <v>-0.52559999999999996</v>
      </c>
    </row>
    <row r="165" spans="1:14">
      <c r="A165">
        <v>1990</v>
      </c>
      <c r="B165">
        <v>2</v>
      </c>
      <c r="C165">
        <v>6731.7</v>
      </c>
      <c r="D165">
        <v>4478.8</v>
      </c>
      <c r="E165">
        <v>933</v>
      </c>
      <c r="F165">
        <v>1384.7</v>
      </c>
      <c r="G165">
        <v>5026.6000000000004</v>
      </c>
      <c r="H165">
        <v>389.1</v>
      </c>
      <c r="I165">
        <v>809.7</v>
      </c>
      <c r="J165">
        <v>7.77</v>
      </c>
      <c r="K165">
        <v>5.3</v>
      </c>
      <c r="L165">
        <v>248.13800000000001</v>
      </c>
      <c r="M165">
        <v>3.7181000000000002</v>
      </c>
      <c r="N165">
        <v>4.0486000000000004</v>
      </c>
    </row>
    <row r="166" spans="1:14">
      <c r="A166">
        <v>1990</v>
      </c>
      <c r="B166">
        <v>3</v>
      </c>
      <c r="C166">
        <v>6719.4</v>
      </c>
      <c r="D166">
        <v>4495.6000000000004</v>
      </c>
      <c r="E166">
        <v>912.6</v>
      </c>
      <c r="F166">
        <v>1384.8</v>
      </c>
      <c r="G166">
        <v>5032.7</v>
      </c>
      <c r="H166">
        <v>397.5</v>
      </c>
      <c r="I166">
        <v>821.1</v>
      </c>
      <c r="J166">
        <v>7.49</v>
      </c>
      <c r="K166">
        <v>5.7</v>
      </c>
      <c r="L166">
        <v>248.8</v>
      </c>
      <c r="M166">
        <v>8.5434000000000001</v>
      </c>
      <c r="N166">
        <v>-1.0501</v>
      </c>
    </row>
    <row r="167" spans="1:14">
      <c r="A167">
        <v>1990</v>
      </c>
      <c r="B167">
        <v>4</v>
      </c>
      <c r="C167">
        <v>6664.2</v>
      </c>
      <c r="D167">
        <v>4457.7</v>
      </c>
      <c r="E167">
        <v>849.6</v>
      </c>
      <c r="F167">
        <v>1398.6</v>
      </c>
      <c r="G167">
        <v>4995.8</v>
      </c>
      <c r="H167">
        <v>400.9</v>
      </c>
      <c r="I167">
        <v>823.9</v>
      </c>
      <c r="J167">
        <v>7.02</v>
      </c>
      <c r="K167">
        <v>6.1</v>
      </c>
      <c r="L167">
        <v>249.464</v>
      </c>
      <c r="M167">
        <v>3.4068000000000001</v>
      </c>
      <c r="N167">
        <v>3.6164999999999998</v>
      </c>
    </row>
    <row r="168" spans="1:14">
      <c r="A168">
        <v>1991</v>
      </c>
      <c r="B168">
        <v>1</v>
      </c>
      <c r="C168">
        <v>6631.4</v>
      </c>
      <c r="D168">
        <v>4437.5</v>
      </c>
      <c r="E168">
        <v>815.1</v>
      </c>
      <c r="F168">
        <v>1404.7</v>
      </c>
      <c r="G168">
        <v>4999.5</v>
      </c>
      <c r="H168">
        <v>404.3</v>
      </c>
      <c r="I168">
        <v>838</v>
      </c>
      <c r="J168">
        <v>6.05</v>
      </c>
      <c r="K168">
        <v>6.6</v>
      </c>
      <c r="L168">
        <v>250.13399999999999</v>
      </c>
      <c r="M168">
        <v>3.3780999999999999</v>
      </c>
      <c r="N168">
        <v>2.6753</v>
      </c>
    </row>
    <row r="169" spans="1:14">
      <c r="A169">
        <v>1991</v>
      </c>
      <c r="B169">
        <v>2</v>
      </c>
      <c r="C169">
        <v>6668.5</v>
      </c>
      <c r="D169">
        <v>4469.8999999999996</v>
      </c>
      <c r="E169">
        <v>808.8</v>
      </c>
      <c r="F169">
        <v>1408.9</v>
      </c>
      <c r="G169">
        <v>5033.3</v>
      </c>
      <c r="H169">
        <v>407.3</v>
      </c>
      <c r="I169">
        <v>857.4</v>
      </c>
      <c r="J169">
        <v>5.59</v>
      </c>
      <c r="K169">
        <v>6.8</v>
      </c>
      <c r="L169">
        <v>250.80500000000001</v>
      </c>
      <c r="M169">
        <v>2.9571000000000001</v>
      </c>
      <c r="N169">
        <v>2.6362000000000001</v>
      </c>
    </row>
    <row r="170" spans="1:14">
      <c r="A170">
        <v>1991</v>
      </c>
      <c r="B170">
        <v>3</v>
      </c>
      <c r="C170">
        <v>6684.9</v>
      </c>
      <c r="D170">
        <v>4484.3</v>
      </c>
      <c r="E170">
        <v>829.8</v>
      </c>
      <c r="F170">
        <v>1403</v>
      </c>
      <c r="G170">
        <v>5045.3999999999996</v>
      </c>
      <c r="H170">
        <v>411.1</v>
      </c>
      <c r="I170">
        <v>871.2</v>
      </c>
      <c r="J170">
        <v>5.41</v>
      </c>
      <c r="K170">
        <v>6.9</v>
      </c>
      <c r="L170">
        <v>251.47800000000001</v>
      </c>
      <c r="M170">
        <v>3.7145999999999999</v>
      </c>
      <c r="N170">
        <v>1.6920999999999999</v>
      </c>
    </row>
    <row r="171" spans="1:14">
      <c r="A171">
        <v>1991</v>
      </c>
      <c r="B171">
        <v>4</v>
      </c>
      <c r="C171">
        <v>6720.9</v>
      </c>
      <c r="D171">
        <v>4474.8</v>
      </c>
      <c r="E171">
        <v>864.2</v>
      </c>
      <c r="F171">
        <v>1397</v>
      </c>
      <c r="G171">
        <v>5053.8</v>
      </c>
      <c r="H171">
        <v>413</v>
      </c>
      <c r="I171">
        <v>895.9</v>
      </c>
      <c r="J171">
        <v>4.58</v>
      </c>
      <c r="K171">
        <v>7.1</v>
      </c>
      <c r="L171">
        <v>252.15299999999999</v>
      </c>
      <c r="M171">
        <v>1.8444</v>
      </c>
      <c r="N171">
        <v>2.7389000000000001</v>
      </c>
    </row>
    <row r="172" spans="1:14">
      <c r="A172">
        <v>1992</v>
      </c>
      <c r="B172">
        <v>1</v>
      </c>
      <c r="C172">
        <v>6783.3</v>
      </c>
      <c r="D172">
        <v>4544.8</v>
      </c>
      <c r="E172">
        <v>843.8</v>
      </c>
      <c r="F172">
        <v>1407.6</v>
      </c>
      <c r="G172">
        <v>5138.8</v>
      </c>
      <c r="H172">
        <v>417.2</v>
      </c>
      <c r="I172">
        <v>935.8</v>
      </c>
      <c r="J172">
        <v>3.91</v>
      </c>
      <c r="K172">
        <v>7.4</v>
      </c>
      <c r="L172">
        <v>252.869</v>
      </c>
      <c r="M172">
        <v>4.0472999999999999</v>
      </c>
      <c r="N172">
        <v>-0.13730000000000001</v>
      </c>
    </row>
    <row r="173" spans="1:14">
      <c r="A173">
        <v>1992</v>
      </c>
      <c r="B173">
        <v>2</v>
      </c>
      <c r="C173">
        <v>6846.8</v>
      </c>
      <c r="D173">
        <v>4566.7</v>
      </c>
      <c r="E173">
        <v>901.8</v>
      </c>
      <c r="F173">
        <v>1405.7</v>
      </c>
      <c r="G173">
        <v>5172.5</v>
      </c>
      <c r="H173">
        <v>419.9</v>
      </c>
      <c r="I173">
        <v>954.5</v>
      </c>
      <c r="J173">
        <v>3.72</v>
      </c>
      <c r="K173">
        <v>7.6</v>
      </c>
      <c r="L173">
        <v>253.58699999999999</v>
      </c>
      <c r="M173">
        <v>2.5802999999999998</v>
      </c>
      <c r="N173">
        <v>1.143</v>
      </c>
    </row>
    <row r="174" spans="1:14">
      <c r="A174">
        <v>1992</v>
      </c>
      <c r="B174">
        <v>3</v>
      </c>
      <c r="C174">
        <v>6899.7</v>
      </c>
      <c r="D174">
        <v>4600.5</v>
      </c>
      <c r="E174">
        <v>912.1</v>
      </c>
      <c r="F174">
        <v>1413.1</v>
      </c>
      <c r="G174">
        <v>5174.2</v>
      </c>
      <c r="H174">
        <v>423.2</v>
      </c>
      <c r="I174">
        <v>988.7</v>
      </c>
      <c r="J174">
        <v>3.13</v>
      </c>
      <c r="K174">
        <v>7.6</v>
      </c>
      <c r="L174">
        <v>254.30699999999999</v>
      </c>
      <c r="M174">
        <v>3.1313</v>
      </c>
      <c r="N174">
        <v>-1.2999999999999999E-3</v>
      </c>
    </row>
    <row r="175" spans="1:14">
      <c r="A175">
        <v>1992</v>
      </c>
      <c r="B175">
        <v>4</v>
      </c>
      <c r="C175">
        <v>6990.6</v>
      </c>
      <c r="D175">
        <v>4665.8999999999996</v>
      </c>
      <c r="E175">
        <v>941.6</v>
      </c>
      <c r="F175">
        <v>1413.7</v>
      </c>
      <c r="G175">
        <v>5271.5</v>
      </c>
      <c r="H175">
        <v>425.2</v>
      </c>
      <c r="I175">
        <v>1024</v>
      </c>
      <c r="J175">
        <v>3.08</v>
      </c>
      <c r="K175">
        <v>7.4</v>
      </c>
      <c r="L175">
        <v>255.03</v>
      </c>
      <c r="M175">
        <v>1.8858999999999999</v>
      </c>
      <c r="N175">
        <v>1.1908000000000001</v>
      </c>
    </row>
    <row r="176" spans="1:14">
      <c r="A176">
        <v>1993</v>
      </c>
      <c r="B176">
        <v>1</v>
      </c>
      <c r="C176">
        <v>6988.7</v>
      </c>
      <c r="D176">
        <v>4674.8999999999996</v>
      </c>
      <c r="E176">
        <v>964.8</v>
      </c>
      <c r="F176">
        <v>1396.4</v>
      </c>
      <c r="G176">
        <v>5181.2</v>
      </c>
      <c r="H176">
        <v>430.1</v>
      </c>
      <c r="I176">
        <v>1038.0999999999999</v>
      </c>
      <c r="J176">
        <v>2.99</v>
      </c>
      <c r="K176">
        <v>7.1</v>
      </c>
      <c r="L176">
        <v>255.715</v>
      </c>
      <c r="M176">
        <v>4.5831999999999997</v>
      </c>
      <c r="N176">
        <v>-1.5899000000000001</v>
      </c>
    </row>
    <row r="177" spans="1:14">
      <c r="A177">
        <v>1993</v>
      </c>
      <c r="B177">
        <v>2</v>
      </c>
      <c r="C177">
        <v>7031.2</v>
      </c>
      <c r="D177">
        <v>4721.5</v>
      </c>
      <c r="E177">
        <v>967</v>
      </c>
      <c r="F177">
        <v>1398</v>
      </c>
      <c r="G177">
        <v>5258.6</v>
      </c>
      <c r="H177">
        <v>432.4</v>
      </c>
      <c r="I177">
        <v>1075.3</v>
      </c>
      <c r="J177">
        <v>2.98</v>
      </c>
      <c r="K177">
        <v>7.1</v>
      </c>
      <c r="L177">
        <v>256.40199999999999</v>
      </c>
      <c r="M177">
        <v>2.1333000000000002</v>
      </c>
      <c r="N177">
        <v>0.85</v>
      </c>
    </row>
    <row r="178" spans="1:14">
      <c r="A178">
        <v>1993</v>
      </c>
      <c r="B178">
        <v>3</v>
      </c>
      <c r="C178">
        <v>7062</v>
      </c>
      <c r="D178">
        <v>4776.8999999999996</v>
      </c>
      <c r="E178">
        <v>964.1</v>
      </c>
      <c r="F178">
        <v>1398.4</v>
      </c>
      <c r="G178">
        <v>5266.8</v>
      </c>
      <c r="H178">
        <v>434.7</v>
      </c>
      <c r="I178">
        <v>1105.2</v>
      </c>
      <c r="J178">
        <v>3.02</v>
      </c>
      <c r="K178">
        <v>6.8</v>
      </c>
      <c r="L178">
        <v>257.09199999999998</v>
      </c>
      <c r="M178">
        <v>2.1219999999999999</v>
      </c>
      <c r="N178">
        <v>0.89800000000000002</v>
      </c>
    </row>
    <row r="179" spans="1:14">
      <c r="A179">
        <v>1993</v>
      </c>
      <c r="B179">
        <v>4</v>
      </c>
      <c r="C179">
        <v>7168.7</v>
      </c>
      <c r="D179">
        <v>4822.3</v>
      </c>
      <c r="E179">
        <v>1015.6</v>
      </c>
      <c r="F179">
        <v>1402.2</v>
      </c>
      <c r="G179">
        <v>5338.5</v>
      </c>
      <c r="H179">
        <v>436.8</v>
      </c>
      <c r="I179">
        <v>1129.2</v>
      </c>
      <c r="J179">
        <v>3.08</v>
      </c>
      <c r="K179">
        <v>6.6</v>
      </c>
      <c r="L179">
        <v>257.78300000000002</v>
      </c>
      <c r="M179">
        <v>1.9277</v>
      </c>
      <c r="N179">
        <v>1.1523000000000001</v>
      </c>
    </row>
    <row r="180" spans="1:14">
      <c r="A180">
        <v>1994</v>
      </c>
      <c r="B180">
        <v>1</v>
      </c>
      <c r="C180">
        <v>7229.4</v>
      </c>
      <c r="D180">
        <v>4866.6000000000004</v>
      </c>
      <c r="E180">
        <v>1057.3</v>
      </c>
      <c r="F180">
        <v>1388</v>
      </c>
      <c r="G180">
        <v>5293.2</v>
      </c>
      <c r="H180">
        <v>441.1</v>
      </c>
      <c r="I180">
        <v>1140</v>
      </c>
      <c r="J180">
        <v>3.25</v>
      </c>
      <c r="K180">
        <v>6.6</v>
      </c>
      <c r="L180">
        <v>258.416</v>
      </c>
      <c r="M180">
        <v>3.9184999999999999</v>
      </c>
      <c r="N180">
        <v>-0.66849999999999998</v>
      </c>
    </row>
    <row r="181" spans="1:14">
      <c r="A181">
        <v>1994</v>
      </c>
      <c r="B181">
        <v>2</v>
      </c>
      <c r="C181">
        <v>7330.2</v>
      </c>
      <c r="D181">
        <v>4907.8999999999996</v>
      </c>
      <c r="E181">
        <v>1118.5</v>
      </c>
      <c r="F181">
        <v>1390.4</v>
      </c>
      <c r="G181">
        <v>5381.2</v>
      </c>
      <c r="H181">
        <v>443.3</v>
      </c>
      <c r="I181">
        <v>1145.5999999999999</v>
      </c>
      <c r="J181">
        <v>4.04</v>
      </c>
      <c r="K181">
        <v>6.2</v>
      </c>
      <c r="L181">
        <v>259.05200000000002</v>
      </c>
      <c r="M181">
        <v>1.9901</v>
      </c>
      <c r="N181">
        <v>2.0466000000000002</v>
      </c>
    </row>
    <row r="182" spans="1:14">
      <c r="A182">
        <v>1994</v>
      </c>
      <c r="B182">
        <v>3</v>
      </c>
      <c r="C182">
        <v>7370.2</v>
      </c>
      <c r="D182">
        <v>4944.5</v>
      </c>
      <c r="E182">
        <v>1101.8</v>
      </c>
      <c r="F182">
        <v>1417.5</v>
      </c>
      <c r="G182">
        <v>5420.9</v>
      </c>
      <c r="H182">
        <v>447.5</v>
      </c>
      <c r="I182">
        <v>1152.0999999999999</v>
      </c>
      <c r="J182">
        <v>4.51</v>
      </c>
      <c r="K182">
        <v>6</v>
      </c>
      <c r="L182">
        <v>259.68900000000002</v>
      </c>
      <c r="M182">
        <v>3.7719</v>
      </c>
      <c r="N182">
        <v>0.73809999999999998</v>
      </c>
    </row>
    <row r="183" spans="1:14">
      <c r="A183">
        <v>1994</v>
      </c>
      <c r="B183">
        <v>4</v>
      </c>
      <c r="C183">
        <v>7461.1</v>
      </c>
      <c r="D183">
        <v>4993.6000000000004</v>
      </c>
      <c r="E183">
        <v>1150.5</v>
      </c>
      <c r="F183">
        <v>1404.5</v>
      </c>
      <c r="G183">
        <v>5493.4</v>
      </c>
      <c r="H183">
        <v>448.4</v>
      </c>
      <c r="I183">
        <v>1149.8</v>
      </c>
      <c r="J183">
        <v>5.28</v>
      </c>
      <c r="K183">
        <v>5.6</v>
      </c>
      <c r="L183">
        <v>260.327</v>
      </c>
      <c r="M183">
        <v>0.80369999999999997</v>
      </c>
      <c r="N183">
        <v>4.4797000000000002</v>
      </c>
    </row>
    <row r="184" spans="1:14">
      <c r="A184">
        <v>1995</v>
      </c>
      <c r="B184">
        <v>1</v>
      </c>
      <c r="C184">
        <v>7488.7</v>
      </c>
      <c r="D184">
        <v>5011.6000000000004</v>
      </c>
      <c r="E184">
        <v>1162.4000000000001</v>
      </c>
      <c r="F184">
        <v>1407.3</v>
      </c>
      <c r="G184">
        <v>5515.4</v>
      </c>
      <c r="H184">
        <v>453.5</v>
      </c>
      <c r="I184">
        <v>1146.5</v>
      </c>
      <c r="J184">
        <v>5.78</v>
      </c>
      <c r="K184">
        <v>5.5</v>
      </c>
      <c r="L184">
        <v>260.94400000000002</v>
      </c>
      <c r="M184">
        <v>4.5237999999999996</v>
      </c>
      <c r="N184">
        <v>1.2562</v>
      </c>
    </row>
    <row r="185" spans="1:14">
      <c r="A185">
        <v>1995</v>
      </c>
      <c r="B185">
        <v>2</v>
      </c>
      <c r="C185">
        <v>7503.3</v>
      </c>
      <c r="D185">
        <v>5059.6000000000004</v>
      </c>
      <c r="E185">
        <v>1128.5</v>
      </c>
      <c r="F185">
        <v>1414</v>
      </c>
      <c r="G185">
        <v>5509</v>
      </c>
      <c r="H185">
        <v>456.7</v>
      </c>
      <c r="I185">
        <v>1144.0999999999999</v>
      </c>
      <c r="J185">
        <v>5.62</v>
      </c>
      <c r="K185">
        <v>5.7</v>
      </c>
      <c r="L185">
        <v>261.56200000000001</v>
      </c>
      <c r="M185">
        <v>2.8126000000000002</v>
      </c>
      <c r="N185">
        <v>2.8107000000000002</v>
      </c>
    </row>
    <row r="186" spans="1:14">
      <c r="A186">
        <v>1995</v>
      </c>
      <c r="B186">
        <v>3</v>
      </c>
      <c r="C186">
        <v>7561.4</v>
      </c>
      <c r="D186">
        <v>5099.2</v>
      </c>
      <c r="E186">
        <v>1119.0999999999999</v>
      </c>
      <c r="F186">
        <v>1410.8</v>
      </c>
      <c r="G186">
        <v>5546.6</v>
      </c>
      <c r="H186">
        <v>459</v>
      </c>
      <c r="I186">
        <v>1141.9000000000001</v>
      </c>
      <c r="J186">
        <v>5.38</v>
      </c>
      <c r="K186">
        <v>5.7</v>
      </c>
      <c r="L186">
        <v>262.18200000000002</v>
      </c>
      <c r="M186">
        <v>2.0093999999999999</v>
      </c>
      <c r="N186">
        <v>3.3706</v>
      </c>
    </row>
    <row r="187" spans="1:14">
      <c r="A187">
        <v>1995</v>
      </c>
      <c r="B187">
        <v>4</v>
      </c>
      <c r="C187">
        <v>7621.9</v>
      </c>
      <c r="D187">
        <v>5132.1000000000004</v>
      </c>
      <c r="E187">
        <v>1152.4000000000001</v>
      </c>
      <c r="F187">
        <v>1393.5</v>
      </c>
      <c r="G187">
        <v>5585.3</v>
      </c>
      <c r="H187">
        <v>459.9</v>
      </c>
      <c r="I187">
        <v>1126.2</v>
      </c>
      <c r="J187">
        <v>5.27</v>
      </c>
      <c r="K187">
        <v>5.6</v>
      </c>
      <c r="L187">
        <v>262.803</v>
      </c>
      <c r="M187">
        <v>0.78349999999999997</v>
      </c>
      <c r="N187">
        <v>4.4865000000000004</v>
      </c>
    </row>
    <row r="188" spans="1:14">
      <c r="A188">
        <v>1996</v>
      </c>
      <c r="B188">
        <v>1</v>
      </c>
      <c r="C188">
        <v>7676.4</v>
      </c>
      <c r="D188">
        <v>5174.3</v>
      </c>
      <c r="E188">
        <v>1172.3</v>
      </c>
      <c r="F188">
        <v>1404.8</v>
      </c>
      <c r="G188">
        <v>5622</v>
      </c>
      <c r="H188">
        <v>466.5</v>
      </c>
      <c r="I188">
        <v>1122</v>
      </c>
      <c r="J188">
        <v>4.95</v>
      </c>
      <c r="K188">
        <v>5.5</v>
      </c>
      <c r="L188">
        <v>263.40800000000002</v>
      </c>
      <c r="M188">
        <v>5.6996000000000002</v>
      </c>
      <c r="N188">
        <v>-0.74960000000000004</v>
      </c>
    </row>
    <row r="189" spans="1:14">
      <c r="A189">
        <v>1996</v>
      </c>
      <c r="B189">
        <v>2</v>
      </c>
      <c r="C189">
        <v>7802.9</v>
      </c>
      <c r="D189">
        <v>5229.5</v>
      </c>
      <c r="E189">
        <v>1233.4000000000001</v>
      </c>
      <c r="F189">
        <v>1430.4</v>
      </c>
      <c r="G189">
        <v>5649.4</v>
      </c>
      <c r="H189">
        <v>469.5</v>
      </c>
      <c r="I189">
        <v>1115</v>
      </c>
      <c r="J189">
        <v>5.04</v>
      </c>
      <c r="K189">
        <v>5.5</v>
      </c>
      <c r="L189">
        <v>264.01299999999998</v>
      </c>
      <c r="M189">
        <v>2.5640999999999998</v>
      </c>
      <c r="N189">
        <v>2.4759000000000002</v>
      </c>
    </row>
    <row r="190" spans="1:14">
      <c r="A190">
        <v>1996</v>
      </c>
      <c r="B190">
        <v>3</v>
      </c>
      <c r="C190">
        <v>7841.9</v>
      </c>
      <c r="D190">
        <v>5254.3</v>
      </c>
      <c r="E190">
        <v>1281.4000000000001</v>
      </c>
      <c r="F190">
        <v>1422</v>
      </c>
      <c r="G190">
        <v>5709.7</v>
      </c>
      <c r="H190">
        <v>472.7</v>
      </c>
      <c r="I190">
        <v>1095.8</v>
      </c>
      <c r="J190">
        <v>5.14</v>
      </c>
      <c r="K190">
        <v>5.3</v>
      </c>
      <c r="L190">
        <v>264.62</v>
      </c>
      <c r="M190">
        <v>2.7170999999999998</v>
      </c>
      <c r="N190">
        <v>2.4196</v>
      </c>
    </row>
    <row r="191" spans="1:14">
      <c r="A191">
        <v>1996</v>
      </c>
      <c r="B191">
        <v>4</v>
      </c>
      <c r="C191">
        <v>7931.3</v>
      </c>
      <c r="D191">
        <v>5291.9</v>
      </c>
      <c r="E191">
        <v>1283.7</v>
      </c>
      <c r="F191">
        <v>1430.6</v>
      </c>
      <c r="G191">
        <v>5729.9</v>
      </c>
      <c r="H191">
        <v>475</v>
      </c>
      <c r="I191">
        <v>1080.5</v>
      </c>
      <c r="J191">
        <v>4.97</v>
      </c>
      <c r="K191">
        <v>5.3</v>
      </c>
      <c r="L191">
        <v>265.22899999999998</v>
      </c>
      <c r="M191">
        <v>1.9415</v>
      </c>
      <c r="N191">
        <v>3.0285000000000002</v>
      </c>
    </row>
    <row r="192" spans="1:14">
      <c r="A192">
        <v>1997</v>
      </c>
      <c r="B192">
        <v>1</v>
      </c>
      <c r="C192">
        <v>8016.4</v>
      </c>
      <c r="D192">
        <v>5350.7</v>
      </c>
      <c r="E192">
        <v>1325.4</v>
      </c>
      <c r="F192">
        <v>1434.6</v>
      </c>
      <c r="G192">
        <v>5771.8</v>
      </c>
      <c r="H192">
        <v>479.3</v>
      </c>
      <c r="I192">
        <v>1072</v>
      </c>
      <c r="J192">
        <v>5.0599999999999996</v>
      </c>
      <c r="K192">
        <v>5.2</v>
      </c>
      <c r="L192">
        <v>265.86500000000001</v>
      </c>
      <c r="M192">
        <v>3.6048</v>
      </c>
      <c r="N192">
        <v>1.4585999999999999</v>
      </c>
    </row>
    <row r="193" spans="1:14">
      <c r="A193">
        <v>1997</v>
      </c>
      <c r="B193">
        <v>2</v>
      </c>
      <c r="C193">
        <v>8131.9</v>
      </c>
      <c r="D193">
        <v>5375.7</v>
      </c>
      <c r="E193">
        <v>1400.6</v>
      </c>
      <c r="F193">
        <v>1457</v>
      </c>
      <c r="G193">
        <v>5821.2</v>
      </c>
      <c r="H193">
        <v>480.2</v>
      </c>
      <c r="I193">
        <v>1066.2</v>
      </c>
      <c r="J193">
        <v>5.07</v>
      </c>
      <c r="K193">
        <v>5</v>
      </c>
      <c r="L193">
        <v>266.50299999999999</v>
      </c>
      <c r="M193">
        <v>0.75039999999999996</v>
      </c>
      <c r="N193">
        <v>4.3228999999999997</v>
      </c>
    </row>
    <row r="194" spans="1:14">
      <c r="A194">
        <v>1997</v>
      </c>
      <c r="B194">
        <v>3</v>
      </c>
      <c r="C194">
        <v>8216.6</v>
      </c>
      <c r="D194">
        <v>5462.1</v>
      </c>
      <c r="E194">
        <v>1408.6</v>
      </c>
      <c r="F194">
        <v>1464.8</v>
      </c>
      <c r="G194">
        <v>5877.3</v>
      </c>
      <c r="H194">
        <v>483</v>
      </c>
      <c r="I194">
        <v>1065.3</v>
      </c>
      <c r="J194">
        <v>5.0599999999999996</v>
      </c>
      <c r="K194">
        <v>4.9000000000000004</v>
      </c>
      <c r="L194">
        <v>267.14299999999997</v>
      </c>
      <c r="M194">
        <v>2.3256000000000001</v>
      </c>
      <c r="N194">
        <v>2.7311000000000001</v>
      </c>
    </row>
    <row r="195" spans="1:14">
      <c r="A195">
        <v>1997</v>
      </c>
      <c r="B195">
        <v>4</v>
      </c>
      <c r="C195">
        <v>8272.9</v>
      </c>
      <c r="D195">
        <v>5507.1</v>
      </c>
      <c r="E195">
        <v>1438.5</v>
      </c>
      <c r="F195">
        <v>1465.3</v>
      </c>
      <c r="G195">
        <v>5947.5</v>
      </c>
      <c r="H195">
        <v>483.2</v>
      </c>
      <c r="I195">
        <v>1073.4000000000001</v>
      </c>
      <c r="J195">
        <v>5.09</v>
      </c>
      <c r="K195">
        <v>4.7</v>
      </c>
      <c r="L195">
        <v>267.78399999999999</v>
      </c>
      <c r="M195">
        <v>0.1656</v>
      </c>
      <c r="N195">
        <v>4.9211</v>
      </c>
    </row>
    <row r="196" spans="1:14">
      <c r="A196">
        <v>1998</v>
      </c>
      <c r="B196">
        <v>1</v>
      </c>
      <c r="C196">
        <v>8396.2999999999993</v>
      </c>
      <c r="D196">
        <v>5576.3</v>
      </c>
      <c r="E196">
        <v>1543.3</v>
      </c>
      <c r="F196">
        <v>1456.1</v>
      </c>
      <c r="G196">
        <v>6064.5</v>
      </c>
      <c r="H196">
        <v>485.8</v>
      </c>
      <c r="I196">
        <v>1080.3</v>
      </c>
      <c r="J196">
        <v>5.08</v>
      </c>
      <c r="K196">
        <v>4.5999999999999996</v>
      </c>
      <c r="L196">
        <v>268.39800000000002</v>
      </c>
      <c r="M196">
        <v>2.1465000000000001</v>
      </c>
      <c r="N196">
        <v>2.9300999999999999</v>
      </c>
    </row>
    <row r="197" spans="1:14">
      <c r="A197">
        <v>1998</v>
      </c>
      <c r="B197">
        <v>2</v>
      </c>
      <c r="C197">
        <v>8442.9</v>
      </c>
      <c r="D197">
        <v>5660.2</v>
      </c>
      <c r="E197">
        <v>1516.8</v>
      </c>
      <c r="F197">
        <v>1482.6</v>
      </c>
      <c r="G197">
        <v>6153.6</v>
      </c>
      <c r="H197">
        <v>488.2</v>
      </c>
      <c r="I197">
        <v>1077.5999999999999</v>
      </c>
      <c r="J197">
        <v>5.01</v>
      </c>
      <c r="K197">
        <v>4.4000000000000004</v>
      </c>
      <c r="L197">
        <v>269.01299999999998</v>
      </c>
      <c r="M197">
        <v>1.9713000000000001</v>
      </c>
      <c r="N197">
        <v>3.0354000000000001</v>
      </c>
    </row>
    <row r="198" spans="1:14">
      <c r="A198">
        <v>1998</v>
      </c>
      <c r="B198">
        <v>3</v>
      </c>
      <c r="C198">
        <v>8528.5</v>
      </c>
      <c r="D198">
        <v>5713.7</v>
      </c>
      <c r="E198">
        <v>1559.7</v>
      </c>
      <c r="F198">
        <v>1489.9</v>
      </c>
      <c r="G198">
        <v>6209.9</v>
      </c>
      <c r="H198">
        <v>490.1</v>
      </c>
      <c r="I198">
        <v>1076.2</v>
      </c>
      <c r="J198">
        <v>4.88</v>
      </c>
      <c r="K198">
        <v>4.5</v>
      </c>
      <c r="L198">
        <v>269.63</v>
      </c>
      <c r="M198">
        <v>1.5537000000000001</v>
      </c>
      <c r="N198">
        <v>3.3262999999999998</v>
      </c>
    </row>
    <row r="199" spans="1:14">
      <c r="A199">
        <v>1998</v>
      </c>
      <c r="B199">
        <v>4</v>
      </c>
      <c r="C199">
        <v>8667.9</v>
      </c>
      <c r="D199">
        <v>5784.7</v>
      </c>
      <c r="E199">
        <v>1612.1</v>
      </c>
      <c r="F199">
        <v>1504.8</v>
      </c>
      <c r="G199">
        <v>6246.6</v>
      </c>
      <c r="H199">
        <v>491</v>
      </c>
      <c r="I199">
        <v>1097</v>
      </c>
      <c r="J199">
        <v>4.3099999999999996</v>
      </c>
      <c r="K199">
        <v>4.4000000000000004</v>
      </c>
      <c r="L199">
        <v>270.24799999999999</v>
      </c>
      <c r="M199">
        <v>0.7339</v>
      </c>
      <c r="N199">
        <v>3.5794999999999999</v>
      </c>
    </row>
    <row r="200" spans="1:14">
      <c r="A200">
        <v>1999</v>
      </c>
      <c r="B200">
        <v>1</v>
      </c>
      <c r="C200">
        <v>8733.5</v>
      </c>
      <c r="D200">
        <v>5854</v>
      </c>
      <c r="E200">
        <v>1641.8</v>
      </c>
      <c r="F200">
        <v>1512.3</v>
      </c>
      <c r="G200">
        <v>6268.2</v>
      </c>
      <c r="H200">
        <v>494.4</v>
      </c>
      <c r="I200">
        <v>1102.2</v>
      </c>
      <c r="J200">
        <v>4.42</v>
      </c>
      <c r="K200">
        <v>4.3</v>
      </c>
      <c r="L200">
        <v>270.85700000000003</v>
      </c>
      <c r="M200">
        <v>2.7603</v>
      </c>
      <c r="N200">
        <v>1.663</v>
      </c>
    </row>
    <row r="201" spans="1:14">
      <c r="A201">
        <v>1999</v>
      </c>
      <c r="B201">
        <v>2</v>
      </c>
      <c r="C201">
        <v>8771.2000000000007</v>
      </c>
      <c r="D201">
        <v>5936.1</v>
      </c>
      <c r="E201">
        <v>1617.4</v>
      </c>
      <c r="F201">
        <v>1516.8</v>
      </c>
      <c r="G201">
        <v>6300</v>
      </c>
      <c r="H201">
        <v>497.9</v>
      </c>
      <c r="I201">
        <v>1099.8</v>
      </c>
      <c r="J201">
        <v>4.46</v>
      </c>
      <c r="K201">
        <v>4.3</v>
      </c>
      <c r="L201">
        <v>271.46699999999998</v>
      </c>
      <c r="M201">
        <v>2.8216999999999999</v>
      </c>
      <c r="N201">
        <v>1.6383000000000001</v>
      </c>
    </row>
    <row r="202" spans="1:14">
      <c r="A202">
        <v>1999</v>
      </c>
      <c r="B202">
        <v>3</v>
      </c>
      <c r="C202">
        <v>8871.5</v>
      </c>
      <c r="D202">
        <v>6000</v>
      </c>
      <c r="E202">
        <v>1655.8</v>
      </c>
      <c r="F202">
        <v>1533.2</v>
      </c>
      <c r="G202">
        <v>6332.4</v>
      </c>
      <c r="H202">
        <v>502.9</v>
      </c>
      <c r="I202">
        <v>1093.4000000000001</v>
      </c>
      <c r="J202">
        <v>4.7</v>
      </c>
      <c r="K202">
        <v>4.2</v>
      </c>
      <c r="L202">
        <v>272.07799999999997</v>
      </c>
      <c r="M202">
        <v>3.9967999999999999</v>
      </c>
      <c r="N202">
        <v>0.69979999999999998</v>
      </c>
    </row>
    <row r="203" spans="1:14">
      <c r="A203">
        <v>1999</v>
      </c>
      <c r="B203">
        <v>4</v>
      </c>
      <c r="C203">
        <v>9049.9</v>
      </c>
      <c r="D203">
        <v>6083.6</v>
      </c>
      <c r="E203">
        <v>1725.4</v>
      </c>
      <c r="F203">
        <v>1564.8</v>
      </c>
      <c r="G203">
        <v>6379.2</v>
      </c>
      <c r="H203">
        <v>504.1</v>
      </c>
      <c r="I203">
        <v>1124.8</v>
      </c>
      <c r="J203">
        <v>5.0599999999999996</v>
      </c>
      <c r="K203">
        <v>4.0999999999999996</v>
      </c>
      <c r="L203">
        <v>272.69099999999997</v>
      </c>
      <c r="M203">
        <v>0.95330000000000004</v>
      </c>
      <c r="N203">
        <v>4.1067</v>
      </c>
    </row>
    <row r="204" spans="1:14">
      <c r="A204">
        <v>2000</v>
      </c>
      <c r="B204">
        <v>1</v>
      </c>
      <c r="C204">
        <v>9102.5</v>
      </c>
      <c r="D204">
        <v>6171.7</v>
      </c>
      <c r="E204">
        <v>1722.9</v>
      </c>
      <c r="F204">
        <v>1560.4</v>
      </c>
      <c r="G204">
        <v>6431.6</v>
      </c>
      <c r="H204">
        <v>512.79999999999995</v>
      </c>
      <c r="I204">
        <v>1113.7</v>
      </c>
      <c r="J204">
        <v>5.54</v>
      </c>
      <c r="K204">
        <v>4</v>
      </c>
      <c r="L204">
        <v>274.84800000000001</v>
      </c>
      <c r="M204">
        <v>6.8445</v>
      </c>
      <c r="N204">
        <v>-1.3011999999999999</v>
      </c>
    </row>
    <row r="205" spans="1:14">
      <c r="A205">
        <v>2000</v>
      </c>
      <c r="B205">
        <v>2</v>
      </c>
      <c r="C205">
        <v>9229.4</v>
      </c>
      <c r="D205">
        <v>6226.3</v>
      </c>
      <c r="E205">
        <v>1801.6</v>
      </c>
      <c r="F205">
        <v>1577.2</v>
      </c>
      <c r="G205">
        <v>6523.7</v>
      </c>
      <c r="H205">
        <v>516.5</v>
      </c>
      <c r="I205">
        <v>1105.3</v>
      </c>
      <c r="J205">
        <v>5.78</v>
      </c>
      <c r="K205">
        <v>4</v>
      </c>
      <c r="L205">
        <v>277.02199999999999</v>
      </c>
      <c r="M205">
        <v>2.8757999999999999</v>
      </c>
      <c r="N205">
        <v>2.9009</v>
      </c>
    </row>
    <row r="206" spans="1:14">
      <c r="A206">
        <v>2000</v>
      </c>
      <c r="B206">
        <v>3</v>
      </c>
      <c r="C206">
        <v>9260.1</v>
      </c>
      <c r="D206">
        <v>6292.1</v>
      </c>
      <c r="E206">
        <v>1788.8</v>
      </c>
      <c r="F206">
        <v>1570</v>
      </c>
      <c r="G206">
        <v>6566.5</v>
      </c>
      <c r="H206">
        <v>520.29999999999995</v>
      </c>
      <c r="I206">
        <v>1096</v>
      </c>
      <c r="J206">
        <v>6.03</v>
      </c>
      <c r="K206">
        <v>4.0999999999999996</v>
      </c>
      <c r="L206">
        <v>279.21300000000002</v>
      </c>
      <c r="M206">
        <v>2.9321000000000002</v>
      </c>
      <c r="N206">
        <v>3.0979000000000001</v>
      </c>
    </row>
    <row r="207" spans="1:14">
      <c r="A207">
        <v>2000</v>
      </c>
      <c r="B207">
        <v>4</v>
      </c>
      <c r="C207">
        <v>9303.9</v>
      </c>
      <c r="D207">
        <v>6341.1</v>
      </c>
      <c r="E207">
        <v>1778.3</v>
      </c>
      <c r="F207">
        <v>1582.8</v>
      </c>
      <c r="G207">
        <v>6634.9</v>
      </c>
      <c r="H207">
        <v>521.1</v>
      </c>
      <c r="I207">
        <v>1088.0999999999999</v>
      </c>
      <c r="J207">
        <v>6.03</v>
      </c>
      <c r="K207">
        <v>4</v>
      </c>
      <c r="L207">
        <v>281.42200000000003</v>
      </c>
      <c r="M207">
        <v>0.61460000000000004</v>
      </c>
      <c r="N207">
        <v>5.4154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7A1BA-05E5-4600-B8E9-5CD15C227827}">
  <dimension ref="A1:E45"/>
  <sheetViews>
    <sheetView topLeftCell="A28" workbookViewId="0">
      <selection activeCell="E40" sqref="E40"/>
    </sheetView>
  </sheetViews>
  <sheetFormatPr defaultRowHeight="15"/>
  <sheetData>
    <row r="1" spans="1:5">
      <c r="A1" t="s">
        <v>1171</v>
      </c>
    </row>
    <row r="3" spans="1:5">
      <c r="A3" t="s">
        <v>696</v>
      </c>
      <c r="B3" t="s">
        <v>218</v>
      </c>
      <c r="C3" t="s">
        <v>513</v>
      </c>
      <c r="D3" t="s">
        <v>515</v>
      </c>
      <c r="E3" t="s">
        <v>197</v>
      </c>
    </row>
    <row r="4" spans="1:5">
      <c r="A4">
        <v>1970</v>
      </c>
      <c r="B4">
        <v>626.5</v>
      </c>
      <c r="C4">
        <v>3771.9</v>
      </c>
      <c r="D4">
        <v>6.4580000000000002</v>
      </c>
      <c r="E4">
        <v>38.799999999999997</v>
      </c>
    </row>
    <row r="5" spans="1:5">
      <c r="A5">
        <v>1971</v>
      </c>
      <c r="B5">
        <v>710.3</v>
      </c>
      <c r="C5">
        <v>3898.6</v>
      </c>
      <c r="D5">
        <v>4.3479999999999999</v>
      </c>
      <c r="E5">
        <v>40.5</v>
      </c>
    </row>
    <row r="6" spans="1:5">
      <c r="A6">
        <v>1972</v>
      </c>
      <c r="B6">
        <v>802.3</v>
      </c>
      <c r="C6">
        <v>4105</v>
      </c>
      <c r="D6">
        <v>4.0709999999999997</v>
      </c>
      <c r="E6">
        <v>41.8</v>
      </c>
    </row>
    <row r="7" spans="1:5">
      <c r="A7">
        <v>1973</v>
      </c>
      <c r="B7">
        <v>855.5</v>
      </c>
      <c r="C7">
        <v>4341.5</v>
      </c>
      <c r="D7">
        <v>7.0410000000000004</v>
      </c>
      <c r="E7">
        <v>44.4</v>
      </c>
    </row>
    <row r="8" spans="1:5">
      <c r="A8">
        <v>1974</v>
      </c>
      <c r="B8">
        <v>902.1</v>
      </c>
      <c r="C8">
        <v>4319.6000000000004</v>
      </c>
      <c r="D8">
        <v>7.8860000000000001</v>
      </c>
      <c r="E8">
        <v>49.3</v>
      </c>
    </row>
    <row r="9" spans="1:5">
      <c r="A9">
        <v>1975</v>
      </c>
      <c r="B9">
        <v>1016.2</v>
      </c>
      <c r="C9">
        <v>4311.2</v>
      </c>
      <c r="D9">
        <v>5.8380000000000001</v>
      </c>
      <c r="E9">
        <v>53.8</v>
      </c>
    </row>
    <row r="10" spans="1:5">
      <c r="A10">
        <v>1976</v>
      </c>
      <c r="B10">
        <v>1152</v>
      </c>
      <c r="C10">
        <v>4540.8999999999996</v>
      </c>
      <c r="D10">
        <v>4.9889999999999999</v>
      </c>
      <c r="E10">
        <v>56.9</v>
      </c>
    </row>
    <row r="11" spans="1:5">
      <c r="A11">
        <v>1977</v>
      </c>
      <c r="B11">
        <v>1270.3</v>
      </c>
      <c r="C11">
        <v>4750.5</v>
      </c>
      <c r="D11">
        <v>5.2649999999999997</v>
      </c>
      <c r="E11">
        <v>60.6</v>
      </c>
    </row>
    <row r="12" spans="1:5">
      <c r="A12">
        <v>1978</v>
      </c>
      <c r="B12">
        <v>1366</v>
      </c>
      <c r="C12">
        <v>5015</v>
      </c>
      <c r="D12">
        <v>7.2210000000000001</v>
      </c>
      <c r="E12">
        <v>65.2</v>
      </c>
    </row>
    <row r="13" spans="1:5">
      <c r="A13">
        <v>1979</v>
      </c>
      <c r="B13">
        <v>1473.7</v>
      </c>
      <c r="C13">
        <v>5173.3999999999996</v>
      </c>
      <c r="D13">
        <v>10.041</v>
      </c>
      <c r="E13">
        <v>72.599999999999994</v>
      </c>
    </row>
    <row r="14" spans="1:5">
      <c r="A14">
        <v>1980</v>
      </c>
      <c r="B14">
        <v>1599.8</v>
      </c>
      <c r="C14">
        <v>5161.7</v>
      </c>
      <c r="D14">
        <v>11.506</v>
      </c>
      <c r="E14">
        <v>82.4</v>
      </c>
    </row>
    <row r="15" spans="1:5">
      <c r="A15">
        <v>1981</v>
      </c>
      <c r="B15">
        <v>1755.5</v>
      </c>
      <c r="C15">
        <v>5291.7</v>
      </c>
      <c r="D15">
        <v>14.029</v>
      </c>
      <c r="E15">
        <v>90.9</v>
      </c>
    </row>
    <row r="16" spans="1:5">
      <c r="A16">
        <v>1982</v>
      </c>
      <c r="B16">
        <v>1910.1</v>
      </c>
      <c r="C16">
        <v>5189.3</v>
      </c>
      <c r="D16">
        <v>10.686</v>
      </c>
      <c r="E16">
        <v>96.5</v>
      </c>
    </row>
    <row r="17" spans="1:5">
      <c r="A17">
        <v>1983</v>
      </c>
      <c r="B17">
        <v>2126.4</v>
      </c>
      <c r="C17">
        <v>5423.8</v>
      </c>
      <c r="D17">
        <v>8.6300000000000008</v>
      </c>
      <c r="E17">
        <v>99.6</v>
      </c>
    </row>
    <row r="18" spans="1:5">
      <c r="A18">
        <v>1984</v>
      </c>
      <c r="B18">
        <v>2309.8000000000002</v>
      </c>
      <c r="C18">
        <v>5813.6</v>
      </c>
      <c r="D18">
        <v>9.58</v>
      </c>
      <c r="E18">
        <v>103.9</v>
      </c>
    </row>
    <row r="19" spans="1:5">
      <c r="A19">
        <v>1985</v>
      </c>
      <c r="B19">
        <v>2495.5</v>
      </c>
      <c r="C19">
        <v>6053.7</v>
      </c>
      <c r="D19">
        <v>7.48</v>
      </c>
      <c r="E19">
        <v>107.6</v>
      </c>
    </row>
    <row r="20" spans="1:5">
      <c r="A20">
        <v>1986</v>
      </c>
      <c r="B20">
        <v>2732.2</v>
      </c>
      <c r="C20">
        <v>6263.6</v>
      </c>
      <c r="D20">
        <v>5.98</v>
      </c>
      <c r="E20">
        <v>109.6</v>
      </c>
    </row>
    <row r="21" spans="1:5">
      <c r="A21">
        <v>1987</v>
      </c>
      <c r="B21">
        <v>2831.3</v>
      </c>
      <c r="C21">
        <v>6475.1</v>
      </c>
      <c r="D21">
        <v>5.82</v>
      </c>
      <c r="E21">
        <v>113.6</v>
      </c>
    </row>
    <row r="22" spans="1:5">
      <c r="A22">
        <v>1988</v>
      </c>
      <c r="B22">
        <v>2994.3</v>
      </c>
      <c r="C22">
        <v>6742.7</v>
      </c>
      <c r="D22">
        <v>6.69</v>
      </c>
      <c r="E22">
        <v>118.3</v>
      </c>
    </row>
    <row r="23" spans="1:5">
      <c r="A23">
        <v>1989</v>
      </c>
      <c r="B23">
        <v>3158.3</v>
      </c>
      <c r="C23">
        <v>6981.4</v>
      </c>
      <c r="D23">
        <v>8.1199999999999992</v>
      </c>
      <c r="E23">
        <v>124</v>
      </c>
    </row>
    <row r="24" spans="1:5">
      <c r="A24">
        <v>1990</v>
      </c>
      <c r="B24">
        <v>3277.7</v>
      </c>
      <c r="C24">
        <v>7112.5</v>
      </c>
      <c r="D24">
        <v>7.51</v>
      </c>
      <c r="E24">
        <v>130.69999999999999</v>
      </c>
    </row>
    <row r="25" spans="1:5">
      <c r="A25">
        <v>1991</v>
      </c>
      <c r="B25">
        <v>3378.3</v>
      </c>
      <c r="C25">
        <v>7100.5</v>
      </c>
      <c r="D25">
        <v>5.42</v>
      </c>
      <c r="E25">
        <v>136.19999999999999</v>
      </c>
    </row>
    <row r="26" spans="1:5">
      <c r="A26">
        <v>1992</v>
      </c>
      <c r="B26">
        <v>3431.8</v>
      </c>
      <c r="C26">
        <v>7336.6</v>
      </c>
      <c r="D26">
        <v>3.45</v>
      </c>
      <c r="E26">
        <v>140.30000000000001</v>
      </c>
    </row>
    <row r="27" spans="1:5">
      <c r="A27">
        <v>1993</v>
      </c>
      <c r="B27">
        <v>3482.5</v>
      </c>
      <c r="C27">
        <v>7532.7</v>
      </c>
      <c r="D27">
        <v>3.02</v>
      </c>
      <c r="E27">
        <v>144.5</v>
      </c>
    </row>
    <row r="28" spans="1:5">
      <c r="A28">
        <v>1994</v>
      </c>
      <c r="B28">
        <v>3498.5</v>
      </c>
      <c r="C28">
        <v>7835.5</v>
      </c>
      <c r="D28">
        <v>4.29</v>
      </c>
      <c r="E28">
        <v>148.19999999999999</v>
      </c>
    </row>
    <row r="29" spans="1:5">
      <c r="A29">
        <v>1995</v>
      </c>
      <c r="B29">
        <v>3641.7</v>
      </c>
      <c r="C29">
        <v>8031.7</v>
      </c>
      <c r="D29">
        <v>5.51</v>
      </c>
      <c r="E29">
        <v>152.4</v>
      </c>
    </row>
    <row r="30" spans="1:5">
      <c r="A30">
        <v>1996</v>
      </c>
      <c r="B30">
        <v>3820.5</v>
      </c>
      <c r="C30">
        <v>8328.9</v>
      </c>
      <c r="D30">
        <v>5.0199999999999996</v>
      </c>
      <c r="E30">
        <v>156.9</v>
      </c>
    </row>
    <row r="31" spans="1:5">
      <c r="A31">
        <v>1997</v>
      </c>
      <c r="B31">
        <v>4035</v>
      </c>
      <c r="C31">
        <v>8703.5</v>
      </c>
      <c r="D31">
        <v>5.07</v>
      </c>
      <c r="E31">
        <v>160.5</v>
      </c>
    </row>
    <row r="32" spans="1:5">
      <c r="A32">
        <v>1998</v>
      </c>
      <c r="B32">
        <v>4381.8</v>
      </c>
      <c r="C32">
        <v>9066.9</v>
      </c>
      <c r="D32">
        <v>4.8099999999999996</v>
      </c>
      <c r="E32">
        <v>163</v>
      </c>
    </row>
    <row r="33" spans="1:5">
      <c r="A33">
        <v>1999</v>
      </c>
      <c r="B33">
        <v>4639.2</v>
      </c>
      <c r="C33">
        <v>9470.2999999999993</v>
      </c>
      <c r="D33">
        <v>4.66</v>
      </c>
      <c r="E33">
        <v>166.6</v>
      </c>
    </row>
    <row r="34" spans="1:5">
      <c r="A34">
        <v>2000</v>
      </c>
      <c r="B34">
        <v>4921.7</v>
      </c>
      <c r="C34">
        <v>9817</v>
      </c>
      <c r="D34">
        <v>5.85</v>
      </c>
      <c r="E34">
        <v>172.2</v>
      </c>
    </row>
    <row r="35" spans="1:5">
      <c r="A35">
        <v>2001</v>
      </c>
      <c r="B35">
        <v>5433.5</v>
      </c>
      <c r="C35">
        <v>9890.7000000000007</v>
      </c>
      <c r="D35">
        <v>3.45</v>
      </c>
      <c r="E35">
        <v>177.1</v>
      </c>
    </row>
    <row r="36" spans="1:5">
      <c r="A36">
        <v>2002</v>
      </c>
      <c r="B36">
        <v>5779.2</v>
      </c>
      <c r="C36">
        <v>10048.799999999999</v>
      </c>
      <c r="D36">
        <v>1.62</v>
      </c>
      <c r="E36">
        <v>179.9</v>
      </c>
    </row>
    <row r="37" spans="1:5">
      <c r="A37">
        <v>2003</v>
      </c>
      <c r="B37">
        <v>6071.2</v>
      </c>
      <c r="C37">
        <v>10301</v>
      </c>
      <c r="D37">
        <v>1.02</v>
      </c>
      <c r="E37">
        <v>184</v>
      </c>
    </row>
    <row r="38" spans="1:5">
      <c r="A38">
        <v>2004</v>
      </c>
      <c r="B38">
        <v>6421.6</v>
      </c>
      <c r="C38">
        <v>10675.8</v>
      </c>
      <c r="D38">
        <v>1.38</v>
      </c>
      <c r="E38">
        <v>188.9</v>
      </c>
    </row>
    <row r="39" spans="1:5">
      <c r="A39">
        <v>2005</v>
      </c>
      <c r="B39">
        <v>6691.7</v>
      </c>
      <c r="C39">
        <v>11003.4</v>
      </c>
      <c r="D39">
        <v>3.16</v>
      </c>
      <c r="E39">
        <v>195.3</v>
      </c>
    </row>
    <row r="40" spans="1:5">
      <c r="A40">
        <v>2006</v>
      </c>
      <c r="B40">
        <v>7035.5</v>
      </c>
      <c r="C40">
        <v>11319.4</v>
      </c>
      <c r="D40">
        <v>4.7300000000000004</v>
      </c>
      <c r="E40">
        <v>201.6</v>
      </c>
    </row>
    <row r="41" spans="1:5">
      <c r="A41" t="s">
        <v>1172</v>
      </c>
    </row>
    <row r="42" spans="1:5">
      <c r="A42" t="s">
        <v>1173</v>
      </c>
    </row>
    <row r="43" spans="1:5">
      <c r="A43" t="s">
        <v>1174</v>
      </c>
    </row>
    <row r="44" spans="1:5">
      <c r="A44" t="s">
        <v>1175</v>
      </c>
    </row>
    <row r="45" spans="1:5">
      <c r="A45" t="s">
        <v>1176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1148-4E2C-4426-AB01-A2079905C8FE}">
  <dimension ref="A1:D34"/>
  <sheetViews>
    <sheetView topLeftCell="A19" workbookViewId="0">
      <selection activeCell="D33" sqref="D33"/>
    </sheetView>
  </sheetViews>
  <sheetFormatPr defaultRowHeight="15"/>
  <sheetData>
    <row r="1" spans="1:4">
      <c r="A1" t="s">
        <v>1177</v>
      </c>
    </row>
    <row r="2" spans="1:4">
      <c r="A2" t="s">
        <v>1178</v>
      </c>
    </row>
    <row r="3" spans="1:4">
      <c r="A3" t="s">
        <v>696</v>
      </c>
      <c r="B3" t="s">
        <v>1179</v>
      </c>
      <c r="C3" t="s">
        <v>1180</v>
      </c>
      <c r="D3" t="s">
        <v>1181</v>
      </c>
    </row>
    <row r="4" spans="1:4">
      <c r="A4">
        <v>1975</v>
      </c>
      <c r="B4">
        <v>66</v>
      </c>
      <c r="C4">
        <v>88</v>
      </c>
      <c r="D4" s="86">
        <v>4789</v>
      </c>
    </row>
    <row r="5" spans="1:4">
      <c r="A5">
        <v>1976</v>
      </c>
      <c r="B5">
        <v>67</v>
      </c>
      <c r="C5">
        <v>87</v>
      </c>
      <c r="D5" s="86">
        <v>5282</v>
      </c>
    </row>
    <row r="6" spans="1:4">
      <c r="A6">
        <v>1977</v>
      </c>
      <c r="B6">
        <v>71</v>
      </c>
      <c r="C6">
        <v>83</v>
      </c>
      <c r="D6" s="86">
        <v>5804</v>
      </c>
    </row>
    <row r="7" spans="1:4">
      <c r="A7">
        <v>1978</v>
      </c>
      <c r="B7">
        <v>73</v>
      </c>
      <c r="C7">
        <v>89</v>
      </c>
      <c r="D7" s="86">
        <v>6417</v>
      </c>
    </row>
    <row r="8" spans="1:4">
      <c r="A8">
        <v>1979</v>
      </c>
      <c r="B8">
        <v>78</v>
      </c>
      <c r="C8">
        <v>98</v>
      </c>
      <c r="D8" s="86">
        <v>7073</v>
      </c>
    </row>
    <row r="9" spans="1:4">
      <c r="A9">
        <v>1980</v>
      </c>
      <c r="B9">
        <v>75</v>
      </c>
      <c r="C9">
        <v>107</v>
      </c>
      <c r="D9" s="86">
        <v>7716</v>
      </c>
    </row>
    <row r="10" spans="1:4">
      <c r="A10">
        <v>1981</v>
      </c>
      <c r="B10">
        <v>81</v>
      </c>
      <c r="C10">
        <v>111</v>
      </c>
      <c r="D10" s="86">
        <v>8439</v>
      </c>
    </row>
    <row r="11" spans="1:4">
      <c r="A11">
        <v>1982</v>
      </c>
      <c r="B11">
        <v>82</v>
      </c>
      <c r="C11">
        <v>98</v>
      </c>
      <c r="D11" s="86">
        <v>8945</v>
      </c>
    </row>
    <row r="12" spans="1:4">
      <c r="A12">
        <v>1983</v>
      </c>
      <c r="B12">
        <v>71</v>
      </c>
      <c r="C12">
        <v>108</v>
      </c>
      <c r="D12" s="86">
        <v>9775</v>
      </c>
    </row>
    <row r="13" spans="1:4">
      <c r="A13">
        <v>1984</v>
      </c>
      <c r="B13">
        <v>81</v>
      </c>
      <c r="C13">
        <v>111</v>
      </c>
      <c r="D13" s="86">
        <v>10589</v>
      </c>
    </row>
    <row r="14" spans="1:4">
      <c r="A14">
        <v>1985</v>
      </c>
      <c r="B14">
        <v>85</v>
      </c>
      <c r="C14">
        <v>98</v>
      </c>
      <c r="D14" s="86">
        <v>11406</v>
      </c>
    </row>
    <row r="15" spans="1:4">
      <c r="A15">
        <v>1986</v>
      </c>
      <c r="B15">
        <v>82</v>
      </c>
      <c r="C15">
        <v>87</v>
      </c>
      <c r="D15" s="86">
        <v>12048</v>
      </c>
    </row>
    <row r="16" spans="1:4">
      <c r="A16">
        <v>1987</v>
      </c>
      <c r="B16">
        <v>84</v>
      </c>
      <c r="C16">
        <v>86</v>
      </c>
      <c r="D16" s="86">
        <v>12766</v>
      </c>
    </row>
    <row r="17" spans="1:4">
      <c r="A17">
        <v>1988</v>
      </c>
      <c r="B17">
        <v>80</v>
      </c>
      <c r="C17">
        <v>104</v>
      </c>
      <c r="D17" s="86">
        <v>13685</v>
      </c>
    </row>
    <row r="18" spans="1:4">
      <c r="A18">
        <v>1989</v>
      </c>
      <c r="B18">
        <v>86</v>
      </c>
      <c r="C18">
        <v>109</v>
      </c>
      <c r="D18" s="86">
        <v>14546</v>
      </c>
    </row>
    <row r="19" spans="1:4">
      <c r="A19">
        <v>1990</v>
      </c>
      <c r="B19">
        <v>90</v>
      </c>
      <c r="C19">
        <v>103</v>
      </c>
      <c r="D19" s="86">
        <v>15349</v>
      </c>
    </row>
    <row r="20" spans="1:4">
      <c r="A20">
        <v>1991</v>
      </c>
      <c r="B20">
        <v>90</v>
      </c>
      <c r="C20">
        <v>101</v>
      </c>
      <c r="D20" s="86">
        <v>15722</v>
      </c>
    </row>
    <row r="21" spans="1:4">
      <c r="A21">
        <v>1992</v>
      </c>
      <c r="B21">
        <v>96</v>
      </c>
      <c r="C21">
        <v>101</v>
      </c>
      <c r="D21" s="86">
        <v>16485</v>
      </c>
    </row>
    <row r="22" spans="1:4">
      <c r="A22">
        <v>1993</v>
      </c>
      <c r="B22">
        <v>91</v>
      </c>
      <c r="C22">
        <v>102</v>
      </c>
      <c r="D22" s="86">
        <v>17204</v>
      </c>
    </row>
    <row r="23" spans="1:4">
      <c r="A23">
        <v>1994</v>
      </c>
      <c r="B23">
        <v>101</v>
      </c>
      <c r="C23">
        <v>105</v>
      </c>
      <c r="D23" s="86">
        <v>18004</v>
      </c>
    </row>
    <row r="24" spans="1:4">
      <c r="A24">
        <v>1995</v>
      </c>
      <c r="B24">
        <v>96</v>
      </c>
      <c r="C24">
        <v>112</v>
      </c>
      <c r="D24" s="86">
        <v>18665</v>
      </c>
    </row>
    <row r="25" spans="1:4">
      <c r="A25">
        <v>1996</v>
      </c>
      <c r="B25">
        <v>100</v>
      </c>
      <c r="C25">
        <v>127</v>
      </c>
      <c r="D25" s="86">
        <v>19490</v>
      </c>
    </row>
    <row r="26" spans="1:4">
      <c r="A26">
        <v>1997</v>
      </c>
      <c r="B26">
        <v>104</v>
      </c>
      <c r="C26">
        <v>115</v>
      </c>
      <c r="D26" s="86">
        <v>20323</v>
      </c>
    </row>
    <row r="27" spans="1:4">
      <c r="A27">
        <v>1998</v>
      </c>
      <c r="B27">
        <v>105</v>
      </c>
      <c r="C27">
        <v>107</v>
      </c>
      <c r="D27" s="86">
        <v>21291</v>
      </c>
    </row>
    <row r="28" spans="1:4">
      <c r="A28">
        <v>1999</v>
      </c>
      <c r="B28">
        <v>108</v>
      </c>
      <c r="C28">
        <v>97</v>
      </c>
      <c r="D28" s="86">
        <v>22491</v>
      </c>
    </row>
    <row r="29" spans="1:4">
      <c r="A29">
        <v>2000</v>
      </c>
      <c r="B29">
        <v>108</v>
      </c>
      <c r="C29">
        <v>96</v>
      </c>
      <c r="D29" s="86">
        <v>23862</v>
      </c>
    </row>
    <row r="30" spans="1:4">
      <c r="A30">
        <v>2001</v>
      </c>
      <c r="B30">
        <v>108</v>
      </c>
      <c r="C30">
        <v>99</v>
      </c>
      <c r="D30" s="86">
        <v>24722</v>
      </c>
    </row>
    <row r="31" spans="1:4">
      <c r="A31">
        <v>2002</v>
      </c>
      <c r="B31">
        <v>107</v>
      </c>
      <c r="C31">
        <v>105</v>
      </c>
      <c r="D31" s="86">
        <v>25501</v>
      </c>
    </row>
    <row r="32" spans="1:4">
      <c r="A32">
        <v>2003</v>
      </c>
      <c r="B32">
        <v>108</v>
      </c>
      <c r="C32">
        <v>111</v>
      </c>
      <c r="D32" s="86">
        <v>26463</v>
      </c>
    </row>
    <row r="33" spans="1:4">
      <c r="A33">
        <v>2004</v>
      </c>
      <c r="B33">
        <v>112</v>
      </c>
      <c r="C33">
        <v>117</v>
      </c>
      <c r="D33" s="86">
        <v>27937</v>
      </c>
    </row>
    <row r="34" spans="1:4">
      <c r="A34" t="s">
        <v>1182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33E3F-B320-44DB-B24D-4D7EB3825E99}">
  <dimension ref="A1:F45"/>
  <sheetViews>
    <sheetView topLeftCell="A28" workbookViewId="0">
      <selection activeCell="F39" sqref="F39"/>
    </sheetView>
  </sheetViews>
  <sheetFormatPr defaultRowHeight="15"/>
  <sheetData>
    <row r="1" spans="1:6">
      <c r="A1" t="s">
        <v>1183</v>
      </c>
    </row>
    <row r="3" spans="1:6">
      <c r="A3" t="s">
        <v>696</v>
      </c>
      <c r="B3" t="s">
        <v>1184</v>
      </c>
      <c r="C3" t="s">
        <v>1185</v>
      </c>
      <c r="D3" t="s">
        <v>1186</v>
      </c>
      <c r="E3" t="s">
        <v>1187</v>
      </c>
      <c r="F3" t="s">
        <v>1188</v>
      </c>
    </row>
    <row r="4" spans="1:6">
      <c r="A4">
        <v>1970</v>
      </c>
      <c r="B4" s="85">
        <v>3771.9</v>
      </c>
      <c r="C4">
        <v>626.5</v>
      </c>
      <c r="D4">
        <v>427.1</v>
      </c>
      <c r="E4">
        <v>201.1</v>
      </c>
      <c r="F4">
        <v>6.5620000000000003</v>
      </c>
    </row>
    <row r="5" spans="1:6">
      <c r="A5">
        <v>1971</v>
      </c>
      <c r="B5" s="85">
        <v>3898.6</v>
      </c>
      <c r="C5">
        <v>710.3</v>
      </c>
      <c r="D5">
        <v>475.7</v>
      </c>
      <c r="E5">
        <v>220</v>
      </c>
      <c r="F5">
        <v>4.5110000000000001</v>
      </c>
    </row>
    <row r="6" spans="1:6">
      <c r="A6">
        <v>1972</v>
      </c>
      <c r="B6" s="85">
        <v>4105</v>
      </c>
      <c r="C6">
        <v>802.3</v>
      </c>
      <c r="D6">
        <v>532.1</v>
      </c>
      <c r="E6">
        <v>244.4</v>
      </c>
      <c r="F6">
        <v>4.4660000000000002</v>
      </c>
    </row>
    <row r="7" spans="1:6">
      <c r="A7">
        <v>1973</v>
      </c>
      <c r="B7" s="85">
        <v>4341.5</v>
      </c>
      <c r="C7">
        <v>855.5</v>
      </c>
      <c r="D7">
        <v>594.4</v>
      </c>
      <c r="E7">
        <v>261.7</v>
      </c>
      <c r="F7">
        <v>7.1779999999999999</v>
      </c>
    </row>
    <row r="8" spans="1:6">
      <c r="A8">
        <v>1974</v>
      </c>
      <c r="B8" s="85">
        <v>4319.6000000000004</v>
      </c>
      <c r="C8">
        <v>902.1</v>
      </c>
      <c r="D8">
        <v>550.6</v>
      </c>
      <c r="E8">
        <v>293.3</v>
      </c>
      <c r="F8">
        <v>7.9260000000000002</v>
      </c>
    </row>
    <row r="9" spans="1:6">
      <c r="A9">
        <v>1975</v>
      </c>
      <c r="B9" s="85">
        <v>4311.2</v>
      </c>
      <c r="C9" s="85">
        <v>1016.2</v>
      </c>
      <c r="D9">
        <v>453.1</v>
      </c>
      <c r="E9">
        <v>346.2</v>
      </c>
      <c r="F9">
        <v>6.1219999999999999</v>
      </c>
    </row>
    <row r="10" spans="1:6">
      <c r="A10">
        <v>1976</v>
      </c>
      <c r="B10" s="85">
        <v>4540.8999999999996</v>
      </c>
      <c r="C10" s="85">
        <v>1152</v>
      </c>
      <c r="D10">
        <v>544.70000000000005</v>
      </c>
      <c r="E10">
        <v>374.3</v>
      </c>
      <c r="F10">
        <v>5.266</v>
      </c>
    </row>
    <row r="11" spans="1:6">
      <c r="A11">
        <v>1977</v>
      </c>
      <c r="B11" s="85">
        <v>4750.5</v>
      </c>
      <c r="C11" s="85">
        <v>1270.3</v>
      </c>
      <c r="D11">
        <v>627</v>
      </c>
      <c r="E11">
        <v>407.5</v>
      </c>
      <c r="F11">
        <v>5.51</v>
      </c>
    </row>
    <row r="12" spans="1:6">
      <c r="A12">
        <v>1978</v>
      </c>
      <c r="B12" s="85">
        <v>5015</v>
      </c>
      <c r="C12" s="85">
        <v>1366</v>
      </c>
      <c r="D12">
        <v>702.6</v>
      </c>
      <c r="E12">
        <v>450</v>
      </c>
      <c r="F12">
        <v>7.5720000000000001</v>
      </c>
    </row>
    <row r="13" spans="1:6">
      <c r="A13">
        <v>1979</v>
      </c>
      <c r="B13" s="85">
        <v>5173.3999999999996</v>
      </c>
      <c r="C13" s="85">
        <v>1473.7</v>
      </c>
      <c r="D13">
        <v>725</v>
      </c>
      <c r="E13">
        <v>497.5</v>
      </c>
      <c r="F13">
        <v>10.016999999999999</v>
      </c>
    </row>
    <row r="14" spans="1:6">
      <c r="A14">
        <v>1980</v>
      </c>
      <c r="B14" s="85">
        <v>5161.7</v>
      </c>
      <c r="C14" s="85">
        <v>1599.8</v>
      </c>
      <c r="D14">
        <v>645.29999999999995</v>
      </c>
      <c r="E14">
        <v>585.70000000000005</v>
      </c>
      <c r="F14">
        <v>11.374000000000001</v>
      </c>
    </row>
    <row r="15" spans="1:6">
      <c r="A15">
        <v>1981</v>
      </c>
      <c r="B15" s="85">
        <v>5291.7</v>
      </c>
      <c r="C15" s="85">
        <v>1755.4</v>
      </c>
      <c r="D15">
        <v>704.9</v>
      </c>
      <c r="E15">
        <v>672.7</v>
      </c>
      <c r="F15">
        <v>13.776</v>
      </c>
    </row>
    <row r="16" spans="1:6">
      <c r="A16">
        <v>1982</v>
      </c>
      <c r="B16" s="85">
        <v>5189.3</v>
      </c>
      <c r="C16" s="85">
        <v>1910.3</v>
      </c>
      <c r="D16">
        <v>606</v>
      </c>
      <c r="E16">
        <v>748.5</v>
      </c>
      <c r="F16">
        <v>11.084</v>
      </c>
    </row>
    <row r="17" spans="1:6">
      <c r="A17">
        <v>1983</v>
      </c>
      <c r="B17" s="85">
        <v>5423.8</v>
      </c>
      <c r="C17" s="85">
        <v>2126.5</v>
      </c>
      <c r="D17">
        <v>662.5</v>
      </c>
      <c r="E17">
        <v>815.4</v>
      </c>
      <c r="F17">
        <v>8.75</v>
      </c>
    </row>
    <row r="18" spans="1:6">
      <c r="A18">
        <v>1984</v>
      </c>
      <c r="B18" s="85">
        <v>5813.6</v>
      </c>
      <c r="C18" s="85">
        <v>2310</v>
      </c>
      <c r="D18">
        <v>857.7</v>
      </c>
      <c r="E18">
        <v>877.1</v>
      </c>
      <c r="F18">
        <v>9.8000000000000007</v>
      </c>
    </row>
    <row r="19" spans="1:6">
      <c r="A19">
        <v>1985</v>
      </c>
      <c r="B19" s="85">
        <v>6053.7</v>
      </c>
      <c r="C19" s="85">
        <v>2495.6999999999998</v>
      </c>
      <c r="D19">
        <v>849.7</v>
      </c>
      <c r="E19">
        <v>948.2</v>
      </c>
      <c r="F19">
        <v>7.66</v>
      </c>
    </row>
    <row r="20" spans="1:6">
      <c r="A20">
        <v>1986</v>
      </c>
      <c r="B20" s="85">
        <v>6263.6</v>
      </c>
      <c r="C20" s="85">
        <v>2732.4</v>
      </c>
      <c r="D20">
        <v>843.9</v>
      </c>
      <c r="E20" s="85">
        <v>1006</v>
      </c>
      <c r="F20">
        <v>6.03</v>
      </c>
    </row>
    <row r="21" spans="1:6">
      <c r="A21">
        <v>1987</v>
      </c>
      <c r="B21" s="85">
        <v>6475.1</v>
      </c>
      <c r="C21" s="85">
        <v>2831.4</v>
      </c>
      <c r="D21">
        <v>870</v>
      </c>
      <c r="E21" s="85">
        <v>1041.5999999999999</v>
      </c>
      <c r="F21">
        <v>6.05</v>
      </c>
    </row>
    <row r="22" spans="1:6">
      <c r="A22">
        <v>1988</v>
      </c>
      <c r="B22" s="85">
        <v>6742.7</v>
      </c>
      <c r="C22" s="85">
        <v>2994.5</v>
      </c>
      <c r="D22">
        <v>890.5</v>
      </c>
      <c r="E22" s="85">
        <v>1092.7</v>
      </c>
      <c r="F22">
        <v>6.92</v>
      </c>
    </row>
    <row r="23" spans="1:6">
      <c r="A23">
        <v>1989</v>
      </c>
      <c r="B23" s="85">
        <v>6981.4</v>
      </c>
      <c r="C23" s="85">
        <v>3158.5</v>
      </c>
      <c r="D23">
        <v>926.2</v>
      </c>
      <c r="E23" s="85">
        <v>1167.5</v>
      </c>
      <c r="F23">
        <v>8.0399999999999991</v>
      </c>
    </row>
    <row r="24" spans="1:6">
      <c r="A24">
        <v>1990</v>
      </c>
      <c r="B24" s="85">
        <v>7112.5</v>
      </c>
      <c r="C24" s="85">
        <v>3278.6</v>
      </c>
      <c r="D24">
        <v>895.1</v>
      </c>
      <c r="E24" s="85">
        <v>1253.5</v>
      </c>
      <c r="F24">
        <v>7.47</v>
      </c>
    </row>
    <row r="25" spans="1:6">
      <c r="A25">
        <v>1991</v>
      </c>
      <c r="B25" s="85">
        <v>7100.5</v>
      </c>
      <c r="C25" s="85">
        <v>3379.1</v>
      </c>
      <c r="D25">
        <v>822.2</v>
      </c>
      <c r="E25" s="85">
        <v>1315</v>
      </c>
      <c r="F25">
        <v>5.49</v>
      </c>
    </row>
    <row r="26" spans="1:6">
      <c r="A26">
        <v>1992</v>
      </c>
      <c r="B26" s="85">
        <v>7336.6</v>
      </c>
      <c r="C26" s="85">
        <v>3432.5</v>
      </c>
      <c r="D26">
        <v>889</v>
      </c>
      <c r="E26" s="85">
        <v>1444.6</v>
      </c>
      <c r="F26">
        <v>3.57</v>
      </c>
    </row>
    <row r="27" spans="1:6">
      <c r="A27">
        <v>1993</v>
      </c>
      <c r="B27" s="85">
        <v>7532.7</v>
      </c>
      <c r="C27" s="85">
        <v>3484</v>
      </c>
      <c r="D27">
        <v>968.3</v>
      </c>
      <c r="E27" s="85">
        <v>1496</v>
      </c>
      <c r="F27">
        <v>3.14</v>
      </c>
    </row>
    <row r="28" spans="1:6">
      <c r="A28">
        <v>1994</v>
      </c>
      <c r="B28" s="85">
        <v>7835.5</v>
      </c>
      <c r="C28" s="85">
        <v>3497.5</v>
      </c>
      <c r="D28" s="85">
        <v>1099.5999999999999</v>
      </c>
      <c r="E28" s="85">
        <v>1533.1</v>
      </c>
      <c r="F28">
        <v>4.66</v>
      </c>
    </row>
    <row r="29" spans="1:6">
      <c r="A29">
        <v>1995</v>
      </c>
      <c r="B29" s="85">
        <v>8031.7</v>
      </c>
      <c r="C29" s="85">
        <v>3640.4</v>
      </c>
      <c r="D29" s="85">
        <v>1134</v>
      </c>
      <c r="E29" s="85">
        <v>1603.5</v>
      </c>
      <c r="F29">
        <v>5.59</v>
      </c>
    </row>
    <row r="30" spans="1:6">
      <c r="A30">
        <v>1996</v>
      </c>
      <c r="B30" s="85">
        <v>8328.9</v>
      </c>
      <c r="C30" s="85">
        <v>3815.1</v>
      </c>
      <c r="D30" s="85">
        <v>1234.3</v>
      </c>
      <c r="E30" s="85">
        <v>1665.8</v>
      </c>
      <c r="F30">
        <v>5.09</v>
      </c>
    </row>
    <row r="31" spans="1:6">
      <c r="A31">
        <v>1997</v>
      </c>
      <c r="B31" s="85">
        <v>8703.5</v>
      </c>
      <c r="C31" s="85">
        <v>4031.6</v>
      </c>
      <c r="D31" s="85">
        <v>1387.7</v>
      </c>
      <c r="E31" s="85">
        <v>1708.9</v>
      </c>
      <c r="F31">
        <v>5.18</v>
      </c>
    </row>
    <row r="32" spans="1:6">
      <c r="A32">
        <v>1998</v>
      </c>
      <c r="B32" s="85">
        <v>9066.9</v>
      </c>
      <c r="C32" s="85">
        <v>4379</v>
      </c>
      <c r="D32" s="85">
        <v>1524.1</v>
      </c>
      <c r="E32" s="85">
        <v>1734.9</v>
      </c>
      <c r="F32">
        <v>4.8499999999999996</v>
      </c>
    </row>
    <row r="33" spans="1:6">
      <c r="A33">
        <v>1999</v>
      </c>
      <c r="B33" s="85">
        <v>9470.2999999999993</v>
      </c>
      <c r="C33" s="85">
        <v>4641.1000000000004</v>
      </c>
      <c r="D33" s="85">
        <v>1642.6</v>
      </c>
      <c r="E33" s="85">
        <v>1787.6</v>
      </c>
      <c r="F33">
        <v>4.76</v>
      </c>
    </row>
    <row r="34" spans="1:6">
      <c r="A34">
        <v>2000</v>
      </c>
      <c r="B34" s="85">
        <v>9817</v>
      </c>
      <c r="C34" s="85">
        <v>4920.8999999999996</v>
      </c>
      <c r="D34" s="85">
        <v>1735.5</v>
      </c>
      <c r="E34" s="85">
        <v>1864.4</v>
      </c>
      <c r="F34">
        <v>5.92</v>
      </c>
    </row>
    <row r="35" spans="1:6">
      <c r="A35">
        <v>2001</v>
      </c>
      <c r="B35" s="85">
        <v>9890.7000000000007</v>
      </c>
      <c r="C35" s="85">
        <v>5430.3</v>
      </c>
      <c r="D35" s="85">
        <v>1598.4</v>
      </c>
      <c r="E35" s="85">
        <v>1969.5</v>
      </c>
      <c r="F35">
        <v>3.39</v>
      </c>
    </row>
    <row r="36" spans="1:6">
      <c r="A36">
        <v>2002</v>
      </c>
      <c r="B36" s="85">
        <v>10048.799999999999</v>
      </c>
      <c r="C36" s="85">
        <v>5774.1</v>
      </c>
      <c r="D36" s="85">
        <v>1557.1</v>
      </c>
      <c r="E36" s="85">
        <v>2101.1</v>
      </c>
      <c r="F36">
        <v>1.69</v>
      </c>
    </row>
    <row r="37" spans="1:6">
      <c r="A37">
        <v>2003</v>
      </c>
      <c r="B37" s="85">
        <v>10301</v>
      </c>
      <c r="C37" s="85">
        <v>6062</v>
      </c>
      <c r="D37" s="85">
        <v>1613.1</v>
      </c>
      <c r="E37" s="85">
        <v>2252.1</v>
      </c>
      <c r="F37">
        <v>1.06</v>
      </c>
    </row>
    <row r="38" spans="1:6">
      <c r="A38">
        <v>2004</v>
      </c>
      <c r="B38" s="85">
        <v>10703.5</v>
      </c>
      <c r="C38" s="85">
        <v>6411.7</v>
      </c>
      <c r="D38" s="85">
        <v>1770.6</v>
      </c>
      <c r="E38" s="85">
        <v>2383</v>
      </c>
      <c r="F38">
        <v>1.58</v>
      </c>
    </row>
    <row r="39" spans="1:6">
      <c r="A39">
        <v>2005</v>
      </c>
      <c r="B39" s="85">
        <v>11048.6</v>
      </c>
      <c r="C39" s="85">
        <v>6669.4</v>
      </c>
      <c r="D39" s="85">
        <v>1866.3</v>
      </c>
      <c r="E39" s="85">
        <v>2555.9</v>
      </c>
      <c r="F39">
        <v>3.4</v>
      </c>
    </row>
    <row r="40" spans="1:6">
      <c r="A40" t="s">
        <v>1189</v>
      </c>
    </row>
    <row r="41" spans="1:6">
      <c r="A41" t="s">
        <v>1190</v>
      </c>
    </row>
    <row r="42" spans="1:6">
      <c r="A42" t="s">
        <v>1191</v>
      </c>
    </row>
    <row r="43" spans="1:6">
      <c r="A43" t="s">
        <v>1192</v>
      </c>
    </row>
    <row r="44" spans="1:6">
      <c r="A44" t="s">
        <v>1193</v>
      </c>
    </row>
    <row r="45" spans="1:6">
      <c r="A45" t="s">
        <v>1194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5707-7F8C-40FF-BE39-ED44A7FAD814}">
  <dimension ref="A1:J27"/>
  <sheetViews>
    <sheetView topLeftCell="A13" workbookViewId="0">
      <selection activeCell="J27" sqref="J27"/>
    </sheetView>
  </sheetViews>
  <sheetFormatPr defaultRowHeight="15"/>
  <sheetData>
    <row r="1" spans="1:10">
      <c r="A1" t="s">
        <v>1195</v>
      </c>
    </row>
    <row r="3" spans="1:10">
      <c r="A3" t="s">
        <v>1196</v>
      </c>
    </row>
    <row r="5" spans="1:10">
      <c r="A5" t="s">
        <v>456</v>
      </c>
      <c r="B5" t="s">
        <v>1197</v>
      </c>
      <c r="C5" t="s">
        <v>645</v>
      </c>
      <c r="D5" t="s">
        <v>640</v>
      </c>
      <c r="E5" t="s">
        <v>643</v>
      </c>
      <c r="F5" t="s">
        <v>1198</v>
      </c>
      <c r="G5" t="s">
        <v>93</v>
      </c>
      <c r="H5" t="s">
        <v>1199</v>
      </c>
      <c r="I5" t="s">
        <v>642</v>
      </c>
      <c r="J5" t="s">
        <v>960</v>
      </c>
    </row>
    <row r="6" spans="1:10">
      <c r="A6">
        <v>1920</v>
      </c>
      <c r="B6">
        <v>39.799999999999997</v>
      </c>
      <c r="C6">
        <v>12.7</v>
      </c>
      <c r="D6">
        <v>28.8</v>
      </c>
      <c r="E6">
        <v>2.7</v>
      </c>
      <c r="F6">
        <v>180.1</v>
      </c>
      <c r="G6">
        <v>44.9</v>
      </c>
      <c r="H6">
        <v>2.2000000000000002</v>
      </c>
      <c r="I6">
        <v>2.4</v>
      </c>
      <c r="J6">
        <v>3.4</v>
      </c>
    </row>
    <row r="7" spans="1:10">
      <c r="A7">
        <v>1921</v>
      </c>
      <c r="B7">
        <v>41.9</v>
      </c>
      <c r="C7">
        <v>12.4</v>
      </c>
      <c r="D7">
        <v>25.5</v>
      </c>
      <c r="E7">
        <v>-0.2</v>
      </c>
      <c r="F7">
        <v>182.8</v>
      </c>
      <c r="G7">
        <v>45.6</v>
      </c>
      <c r="H7">
        <v>2.7</v>
      </c>
      <c r="I7">
        <v>3.9</v>
      </c>
      <c r="J7">
        <v>7.7</v>
      </c>
    </row>
    <row r="8" spans="1:10">
      <c r="A8">
        <v>1922</v>
      </c>
      <c r="B8">
        <v>45</v>
      </c>
      <c r="C8">
        <v>16.899999999999999</v>
      </c>
      <c r="D8">
        <v>29.3</v>
      </c>
      <c r="E8">
        <v>1.9</v>
      </c>
      <c r="F8">
        <v>182.6</v>
      </c>
      <c r="G8">
        <v>50.1</v>
      </c>
      <c r="H8">
        <v>2.9</v>
      </c>
      <c r="I8">
        <v>3.2</v>
      </c>
      <c r="J8">
        <v>3.9</v>
      </c>
    </row>
    <row r="9" spans="1:10">
      <c r="A9">
        <v>1923</v>
      </c>
      <c r="B9">
        <v>49.2</v>
      </c>
      <c r="C9">
        <v>18.399999999999999</v>
      </c>
      <c r="D9">
        <v>34.1</v>
      </c>
      <c r="E9">
        <v>5.2</v>
      </c>
      <c r="F9">
        <v>184.5</v>
      </c>
      <c r="G9">
        <v>57.2</v>
      </c>
      <c r="H9">
        <v>2.9</v>
      </c>
      <c r="I9">
        <v>2.8</v>
      </c>
      <c r="J9">
        <v>4.7</v>
      </c>
    </row>
    <row r="10" spans="1:10">
      <c r="A10">
        <v>1924</v>
      </c>
      <c r="B10">
        <v>50.6</v>
      </c>
      <c r="C10">
        <v>19.399999999999999</v>
      </c>
      <c r="D10">
        <v>33.9</v>
      </c>
      <c r="E10">
        <v>3</v>
      </c>
      <c r="F10">
        <v>189.7</v>
      </c>
      <c r="G10">
        <v>57.1</v>
      </c>
      <c r="H10">
        <v>3.1</v>
      </c>
      <c r="I10">
        <v>3.5</v>
      </c>
      <c r="J10">
        <v>3.8</v>
      </c>
    </row>
    <row r="11" spans="1:10">
      <c r="A11">
        <v>1925</v>
      </c>
      <c r="B11">
        <v>52.6</v>
      </c>
      <c r="C11">
        <v>20.100000000000001</v>
      </c>
      <c r="D11">
        <v>35.4</v>
      </c>
      <c r="E11">
        <v>5.0999999999999996</v>
      </c>
      <c r="F11">
        <v>192.7</v>
      </c>
      <c r="G11">
        <v>61</v>
      </c>
      <c r="H11">
        <v>3.2</v>
      </c>
      <c r="I11">
        <v>3.3</v>
      </c>
      <c r="J11">
        <v>5.5</v>
      </c>
    </row>
    <row r="12" spans="1:10">
      <c r="A12">
        <v>1926</v>
      </c>
      <c r="B12">
        <v>55.1</v>
      </c>
      <c r="C12">
        <v>19.600000000000001</v>
      </c>
      <c r="D12">
        <v>37.4</v>
      </c>
      <c r="E12">
        <v>5.6</v>
      </c>
      <c r="F12">
        <v>197.8</v>
      </c>
      <c r="G12">
        <v>64</v>
      </c>
      <c r="H12">
        <v>3.3</v>
      </c>
      <c r="I12">
        <v>3.3</v>
      </c>
      <c r="J12">
        <v>7</v>
      </c>
    </row>
    <row r="13" spans="1:10">
      <c r="A13">
        <v>1927</v>
      </c>
      <c r="B13">
        <v>56.2</v>
      </c>
      <c r="C13">
        <v>19.8</v>
      </c>
      <c r="D13">
        <v>37.9</v>
      </c>
      <c r="E13">
        <v>4.2</v>
      </c>
      <c r="F13">
        <v>203.4</v>
      </c>
      <c r="G13">
        <v>64.400000000000006</v>
      </c>
      <c r="H13">
        <v>3.6</v>
      </c>
      <c r="I13">
        <v>4</v>
      </c>
      <c r="J13">
        <v>6.7</v>
      </c>
    </row>
    <row r="14" spans="1:10">
      <c r="A14">
        <v>1928</v>
      </c>
      <c r="B14">
        <v>57.3</v>
      </c>
      <c r="C14">
        <v>21.1</v>
      </c>
      <c r="D14">
        <v>39.200000000000003</v>
      </c>
      <c r="E14">
        <v>3</v>
      </c>
      <c r="F14">
        <v>207.6</v>
      </c>
      <c r="G14">
        <v>64.5</v>
      </c>
      <c r="H14">
        <v>3.7</v>
      </c>
      <c r="I14">
        <v>4.2</v>
      </c>
      <c r="J14">
        <v>4.2</v>
      </c>
    </row>
    <row r="15" spans="1:10">
      <c r="A15">
        <v>1929</v>
      </c>
      <c r="B15">
        <v>57.8</v>
      </c>
      <c r="C15">
        <v>21.7</v>
      </c>
      <c r="D15">
        <v>41.3</v>
      </c>
      <c r="E15">
        <v>5.0999999999999996</v>
      </c>
      <c r="F15">
        <v>210.6</v>
      </c>
      <c r="G15">
        <v>67</v>
      </c>
      <c r="H15">
        <v>4</v>
      </c>
      <c r="I15">
        <v>4.0999999999999996</v>
      </c>
      <c r="J15">
        <v>4</v>
      </c>
    </row>
    <row r="16" spans="1:10">
      <c r="A16">
        <v>1930</v>
      </c>
      <c r="B16">
        <v>55</v>
      </c>
      <c r="C16">
        <v>15.6</v>
      </c>
      <c r="D16">
        <v>37.9</v>
      </c>
      <c r="E16">
        <v>1</v>
      </c>
      <c r="F16">
        <v>215.7</v>
      </c>
      <c r="G16">
        <v>61.2</v>
      </c>
      <c r="H16">
        <v>4.2</v>
      </c>
      <c r="I16">
        <v>5.2</v>
      </c>
      <c r="J16">
        <v>7.7</v>
      </c>
    </row>
    <row r="17" spans="1:10">
      <c r="A17">
        <v>1931</v>
      </c>
      <c r="B17">
        <v>50.9</v>
      </c>
      <c r="C17">
        <v>11.4</v>
      </c>
      <c r="D17">
        <v>34.5</v>
      </c>
      <c r="E17">
        <v>-3.4</v>
      </c>
      <c r="F17">
        <v>216.7</v>
      </c>
      <c r="G17">
        <v>53.4</v>
      </c>
      <c r="H17">
        <v>4.8</v>
      </c>
      <c r="I17">
        <v>5.9</v>
      </c>
      <c r="J17">
        <v>7.5</v>
      </c>
    </row>
    <row r="18" spans="1:10">
      <c r="A18">
        <v>1932</v>
      </c>
      <c r="B18">
        <v>45.6</v>
      </c>
      <c r="C18">
        <v>7</v>
      </c>
      <c r="D18">
        <v>29</v>
      </c>
      <c r="E18">
        <v>-6.2</v>
      </c>
      <c r="F18">
        <v>213.3</v>
      </c>
      <c r="G18">
        <v>44.3</v>
      </c>
      <c r="H18">
        <v>5.3</v>
      </c>
      <c r="I18">
        <v>4.9000000000000004</v>
      </c>
      <c r="J18">
        <v>8.3000000000000007</v>
      </c>
    </row>
    <row r="19" spans="1:10">
      <c r="A19">
        <v>1933</v>
      </c>
      <c r="B19">
        <v>46.5</v>
      </c>
      <c r="C19">
        <v>11.2</v>
      </c>
      <c r="D19">
        <v>28.5</v>
      </c>
      <c r="E19">
        <v>-5.0999999999999996</v>
      </c>
      <c r="F19">
        <v>207.1</v>
      </c>
      <c r="G19">
        <v>45.1</v>
      </c>
      <c r="H19">
        <v>5.6</v>
      </c>
      <c r="I19">
        <v>3.7</v>
      </c>
      <c r="J19">
        <v>5.4</v>
      </c>
    </row>
    <row r="20" spans="1:10">
      <c r="A20">
        <v>1934</v>
      </c>
      <c r="B20">
        <v>48.7</v>
      </c>
      <c r="C20">
        <v>12.3</v>
      </c>
      <c r="D20">
        <v>30.6</v>
      </c>
      <c r="E20">
        <v>-3</v>
      </c>
      <c r="F20">
        <v>202</v>
      </c>
      <c r="G20">
        <v>49.7</v>
      </c>
      <c r="H20">
        <v>6</v>
      </c>
      <c r="I20">
        <v>4</v>
      </c>
      <c r="J20">
        <v>6.8</v>
      </c>
    </row>
    <row r="21" spans="1:10">
      <c r="A21">
        <v>1935</v>
      </c>
      <c r="B21">
        <v>51.3</v>
      </c>
      <c r="C21">
        <v>14</v>
      </c>
      <c r="D21">
        <v>33.200000000000003</v>
      </c>
      <c r="E21">
        <v>-1.3</v>
      </c>
      <c r="F21">
        <v>199</v>
      </c>
      <c r="G21">
        <v>54.4</v>
      </c>
      <c r="H21">
        <v>6.1</v>
      </c>
      <c r="I21">
        <v>4.4000000000000004</v>
      </c>
      <c r="J21">
        <v>7.2</v>
      </c>
    </row>
    <row r="22" spans="1:10">
      <c r="A22">
        <v>1936</v>
      </c>
      <c r="B22">
        <v>57.7</v>
      </c>
      <c r="C22">
        <v>17.600000000000001</v>
      </c>
      <c r="D22">
        <v>36.799999999999997</v>
      </c>
      <c r="E22">
        <v>2.1</v>
      </c>
      <c r="F22">
        <v>197.7</v>
      </c>
      <c r="G22">
        <v>62.7</v>
      </c>
      <c r="H22">
        <v>7.4</v>
      </c>
      <c r="I22">
        <v>2.9</v>
      </c>
      <c r="J22">
        <v>8.3000000000000007</v>
      </c>
    </row>
    <row r="23" spans="1:10">
      <c r="A23">
        <v>1937</v>
      </c>
      <c r="B23">
        <v>58.7</v>
      </c>
      <c r="C23">
        <v>17.3</v>
      </c>
      <c r="D23">
        <v>41</v>
      </c>
      <c r="E23">
        <v>2</v>
      </c>
      <c r="F23">
        <v>199.8</v>
      </c>
      <c r="G23">
        <v>65</v>
      </c>
      <c r="H23">
        <v>6.7</v>
      </c>
      <c r="I23">
        <v>4.3</v>
      </c>
      <c r="J23">
        <v>6.7</v>
      </c>
    </row>
    <row r="24" spans="1:10">
      <c r="A24">
        <v>1938</v>
      </c>
      <c r="B24">
        <v>57.5</v>
      </c>
      <c r="C24">
        <v>15.3</v>
      </c>
      <c r="D24">
        <v>38.200000000000003</v>
      </c>
      <c r="E24">
        <v>-1.9</v>
      </c>
      <c r="F24">
        <v>201.8</v>
      </c>
      <c r="G24">
        <v>60.9</v>
      </c>
      <c r="H24">
        <v>7.7</v>
      </c>
      <c r="I24">
        <v>5.3</v>
      </c>
      <c r="J24">
        <v>7.4</v>
      </c>
    </row>
    <row r="25" spans="1:10">
      <c r="A25">
        <v>1939</v>
      </c>
      <c r="B25">
        <v>61.6</v>
      </c>
      <c r="C25">
        <v>19</v>
      </c>
      <c r="D25">
        <v>41.6</v>
      </c>
      <c r="E25">
        <v>1.3</v>
      </c>
      <c r="F25">
        <v>199.9</v>
      </c>
      <c r="G25">
        <v>69.5</v>
      </c>
      <c r="H25">
        <v>7.8</v>
      </c>
      <c r="I25">
        <v>6.6</v>
      </c>
      <c r="J25">
        <v>8.9</v>
      </c>
    </row>
    <row r="26" spans="1:10">
      <c r="A26">
        <v>1940</v>
      </c>
      <c r="B26">
        <v>65</v>
      </c>
      <c r="C26">
        <v>21.1</v>
      </c>
      <c r="D26">
        <v>45</v>
      </c>
      <c r="E26">
        <v>3.3</v>
      </c>
      <c r="F26">
        <v>201.2</v>
      </c>
      <c r="G26">
        <v>75.7</v>
      </c>
      <c r="H26">
        <v>8</v>
      </c>
      <c r="I26">
        <v>7.4</v>
      </c>
      <c r="J26">
        <v>9.6</v>
      </c>
    </row>
    <row r="27" spans="1:10">
      <c r="A27">
        <v>1941</v>
      </c>
      <c r="B27">
        <v>69.7</v>
      </c>
      <c r="C27">
        <v>23.5</v>
      </c>
      <c r="D27">
        <v>53.3</v>
      </c>
      <c r="E27">
        <v>4.9000000000000004</v>
      </c>
      <c r="F27">
        <v>204.5</v>
      </c>
      <c r="G27">
        <v>88.4</v>
      </c>
      <c r="H27">
        <v>8.5</v>
      </c>
      <c r="I27">
        <v>13.8</v>
      </c>
      <c r="J27">
        <v>11.6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B62C-0809-4E3D-BA86-0AC486F57A0B}">
  <dimension ref="A1:K551"/>
  <sheetViews>
    <sheetView topLeftCell="A530" workbookViewId="0">
      <selection activeCell="K551" sqref="K551"/>
    </sheetView>
  </sheetViews>
  <sheetFormatPr defaultRowHeight="15"/>
  <sheetData>
    <row r="1" spans="1:4">
      <c r="A1" t="s">
        <v>1200</v>
      </c>
    </row>
    <row r="3" spans="1:4">
      <c r="A3" t="s">
        <v>1201</v>
      </c>
    </row>
    <row r="4" spans="1:4">
      <c r="B4" t="s">
        <v>1202</v>
      </c>
    </row>
    <row r="5" spans="1:4">
      <c r="B5" t="s">
        <v>1203</v>
      </c>
      <c r="D5" t="s">
        <v>1204</v>
      </c>
    </row>
    <row r="6" spans="1:4">
      <c r="B6" t="s">
        <v>1205</v>
      </c>
    </row>
    <row r="7" spans="1:4">
      <c r="B7" t="s">
        <v>1206</v>
      </c>
    </row>
    <row r="8" spans="1:4">
      <c r="B8" t="s">
        <v>1207</v>
      </c>
      <c r="D8" t="s">
        <v>1208</v>
      </c>
    </row>
    <row r="9" spans="1:4">
      <c r="B9" t="s">
        <v>1209</v>
      </c>
    </row>
    <row r="10" spans="1:4">
      <c r="B10" t="s">
        <v>1210</v>
      </c>
    </row>
    <row r="11" spans="1:4">
      <c r="B11" t="s">
        <v>1211</v>
      </c>
    </row>
    <row r="12" spans="1:4">
      <c r="B12" t="s">
        <v>1212</v>
      </c>
      <c r="D12" t="s">
        <v>1213</v>
      </c>
    </row>
    <row r="13" spans="1:4">
      <c r="B13" t="s">
        <v>1214</v>
      </c>
    </row>
    <row r="14" spans="1:4">
      <c r="B14" t="s">
        <v>1215</v>
      </c>
    </row>
    <row r="16" spans="1:4">
      <c r="A16" t="s">
        <v>1216</v>
      </c>
    </row>
    <row r="17" spans="1:11">
      <c r="A17" t="s">
        <v>1217</v>
      </c>
      <c r="B17" t="s">
        <v>1218</v>
      </c>
      <c r="C17" t="s">
        <v>1219</v>
      </c>
      <c r="D17" t="s">
        <v>441</v>
      </c>
      <c r="E17" t="s">
        <v>1220</v>
      </c>
      <c r="F17" t="s">
        <v>1221</v>
      </c>
      <c r="G17" t="s">
        <v>948</v>
      </c>
      <c r="H17" t="s">
        <v>1222</v>
      </c>
      <c r="I17" t="s">
        <v>1223</v>
      </c>
      <c r="J17" t="s">
        <v>1224</v>
      </c>
      <c r="K17" t="s">
        <v>1225</v>
      </c>
    </row>
    <row r="18" spans="1:11">
      <c r="A18">
        <v>8</v>
      </c>
      <c r="B18">
        <v>0</v>
      </c>
      <c r="C18">
        <v>1</v>
      </c>
      <c r="D18">
        <v>21</v>
      </c>
      <c r="E18">
        <v>0</v>
      </c>
      <c r="F18">
        <v>5.0999999999999996</v>
      </c>
      <c r="G18">
        <v>35</v>
      </c>
      <c r="H18">
        <v>2</v>
      </c>
      <c r="I18">
        <v>6</v>
      </c>
      <c r="J18">
        <v>1</v>
      </c>
      <c r="K18">
        <v>1</v>
      </c>
    </row>
    <row r="19" spans="1:11">
      <c r="A19">
        <v>9</v>
      </c>
      <c r="B19">
        <v>0</v>
      </c>
      <c r="C19">
        <v>1</v>
      </c>
      <c r="D19">
        <v>42</v>
      </c>
      <c r="E19">
        <v>0</v>
      </c>
      <c r="F19">
        <v>4.95</v>
      </c>
      <c r="G19">
        <v>57</v>
      </c>
      <c r="H19">
        <v>3</v>
      </c>
      <c r="I19">
        <v>6</v>
      </c>
      <c r="J19">
        <v>1</v>
      </c>
      <c r="K19">
        <v>1</v>
      </c>
    </row>
    <row r="20" spans="1:11">
      <c r="A20">
        <v>12</v>
      </c>
      <c r="B20">
        <v>0</v>
      </c>
      <c r="C20">
        <v>0</v>
      </c>
      <c r="D20">
        <v>1</v>
      </c>
      <c r="E20">
        <v>0</v>
      </c>
      <c r="F20">
        <v>6.67</v>
      </c>
      <c r="G20">
        <v>19</v>
      </c>
      <c r="H20">
        <v>3</v>
      </c>
      <c r="I20">
        <v>6</v>
      </c>
      <c r="J20">
        <v>1</v>
      </c>
      <c r="K20">
        <v>0</v>
      </c>
    </row>
    <row r="21" spans="1:11">
      <c r="A21">
        <v>12</v>
      </c>
      <c r="B21">
        <v>0</v>
      </c>
      <c r="C21">
        <v>0</v>
      </c>
      <c r="D21">
        <v>4</v>
      </c>
      <c r="E21">
        <v>0</v>
      </c>
      <c r="F21">
        <v>4</v>
      </c>
      <c r="G21">
        <v>22</v>
      </c>
      <c r="H21">
        <v>3</v>
      </c>
      <c r="I21">
        <v>6</v>
      </c>
      <c r="J21">
        <v>0</v>
      </c>
      <c r="K21">
        <v>0</v>
      </c>
    </row>
    <row r="22" spans="1:11">
      <c r="A22">
        <v>12</v>
      </c>
      <c r="B22">
        <v>0</v>
      </c>
      <c r="C22">
        <v>0</v>
      </c>
      <c r="D22">
        <v>17</v>
      </c>
      <c r="E22">
        <v>0</v>
      </c>
      <c r="F22">
        <v>7.5</v>
      </c>
      <c r="G22">
        <v>35</v>
      </c>
      <c r="H22">
        <v>3</v>
      </c>
      <c r="I22">
        <v>6</v>
      </c>
      <c r="J22">
        <v>0</v>
      </c>
      <c r="K22">
        <v>1</v>
      </c>
    </row>
    <row r="23" spans="1:11">
      <c r="A23">
        <v>13</v>
      </c>
      <c r="B23">
        <v>0</v>
      </c>
      <c r="C23">
        <v>0</v>
      </c>
      <c r="D23">
        <v>9</v>
      </c>
      <c r="E23">
        <v>1</v>
      </c>
      <c r="F23">
        <v>13.07</v>
      </c>
      <c r="G23">
        <v>28</v>
      </c>
      <c r="H23">
        <v>3</v>
      </c>
      <c r="I23">
        <v>6</v>
      </c>
      <c r="J23">
        <v>0</v>
      </c>
      <c r="K23">
        <v>0</v>
      </c>
    </row>
    <row r="24" spans="1:11">
      <c r="A24">
        <v>10</v>
      </c>
      <c r="B24">
        <v>1</v>
      </c>
      <c r="C24">
        <v>0</v>
      </c>
      <c r="D24">
        <v>27</v>
      </c>
      <c r="E24">
        <v>0</v>
      </c>
      <c r="F24">
        <v>4.45</v>
      </c>
      <c r="G24">
        <v>43</v>
      </c>
      <c r="H24">
        <v>3</v>
      </c>
      <c r="I24">
        <v>6</v>
      </c>
      <c r="J24">
        <v>0</v>
      </c>
      <c r="K24">
        <v>0</v>
      </c>
    </row>
    <row r="25" spans="1:11">
      <c r="A25">
        <v>12</v>
      </c>
      <c r="B25">
        <v>0</v>
      </c>
      <c r="C25">
        <v>0</v>
      </c>
      <c r="D25">
        <v>9</v>
      </c>
      <c r="E25">
        <v>0</v>
      </c>
      <c r="F25">
        <v>19.47</v>
      </c>
      <c r="G25">
        <v>27</v>
      </c>
      <c r="H25">
        <v>3</v>
      </c>
      <c r="I25">
        <v>6</v>
      </c>
      <c r="J25">
        <v>0</v>
      </c>
      <c r="K25">
        <v>0</v>
      </c>
    </row>
    <row r="26" spans="1:11">
      <c r="A26">
        <v>16</v>
      </c>
      <c r="B26">
        <v>0</v>
      </c>
      <c r="C26">
        <v>0</v>
      </c>
      <c r="D26">
        <v>11</v>
      </c>
      <c r="E26">
        <v>0</v>
      </c>
      <c r="F26">
        <v>13.28</v>
      </c>
      <c r="G26">
        <v>33</v>
      </c>
      <c r="H26">
        <v>3</v>
      </c>
      <c r="I26">
        <v>6</v>
      </c>
      <c r="J26">
        <v>1</v>
      </c>
      <c r="K26">
        <v>1</v>
      </c>
    </row>
    <row r="27" spans="1:11">
      <c r="A27">
        <v>12</v>
      </c>
      <c r="B27">
        <v>0</v>
      </c>
      <c r="C27">
        <v>0</v>
      </c>
      <c r="D27">
        <v>9</v>
      </c>
      <c r="E27">
        <v>0</v>
      </c>
      <c r="F27">
        <v>8.75</v>
      </c>
      <c r="G27">
        <v>27</v>
      </c>
      <c r="H27">
        <v>3</v>
      </c>
      <c r="I27">
        <v>6</v>
      </c>
      <c r="J27">
        <v>0</v>
      </c>
      <c r="K27">
        <v>0</v>
      </c>
    </row>
    <row r="28" spans="1:11">
      <c r="A28">
        <v>12</v>
      </c>
      <c r="B28">
        <v>0</v>
      </c>
      <c r="C28">
        <v>0</v>
      </c>
      <c r="D28">
        <v>17</v>
      </c>
      <c r="E28">
        <v>1</v>
      </c>
      <c r="F28">
        <v>11.35</v>
      </c>
      <c r="G28">
        <v>35</v>
      </c>
      <c r="H28">
        <v>3</v>
      </c>
      <c r="I28">
        <v>6</v>
      </c>
      <c r="J28">
        <v>0</v>
      </c>
      <c r="K28">
        <v>1</v>
      </c>
    </row>
    <row r="29" spans="1:11">
      <c r="A29">
        <v>12</v>
      </c>
      <c r="B29">
        <v>0</v>
      </c>
      <c r="C29">
        <v>0</v>
      </c>
      <c r="D29">
        <v>19</v>
      </c>
      <c r="E29">
        <v>1</v>
      </c>
      <c r="F29">
        <v>11.5</v>
      </c>
      <c r="G29">
        <v>37</v>
      </c>
      <c r="H29">
        <v>3</v>
      </c>
      <c r="I29">
        <v>6</v>
      </c>
      <c r="J29">
        <v>1</v>
      </c>
      <c r="K29">
        <v>0</v>
      </c>
    </row>
    <row r="30" spans="1:11">
      <c r="A30">
        <v>8</v>
      </c>
      <c r="B30">
        <v>1</v>
      </c>
      <c r="C30">
        <v>0</v>
      </c>
      <c r="D30">
        <v>27</v>
      </c>
      <c r="E30">
        <v>0</v>
      </c>
      <c r="F30">
        <v>6.5</v>
      </c>
      <c r="G30">
        <v>41</v>
      </c>
      <c r="H30">
        <v>3</v>
      </c>
      <c r="I30">
        <v>6</v>
      </c>
      <c r="J30">
        <v>0</v>
      </c>
      <c r="K30">
        <v>1</v>
      </c>
    </row>
    <row r="31" spans="1:11">
      <c r="A31">
        <v>9</v>
      </c>
      <c r="B31">
        <v>1</v>
      </c>
      <c r="C31">
        <v>0</v>
      </c>
      <c r="D31">
        <v>30</v>
      </c>
      <c r="E31">
        <v>1</v>
      </c>
      <c r="F31">
        <v>6.25</v>
      </c>
      <c r="G31">
        <v>45</v>
      </c>
      <c r="H31">
        <v>3</v>
      </c>
      <c r="I31">
        <v>6</v>
      </c>
      <c r="J31">
        <v>0</v>
      </c>
      <c r="K31">
        <v>0</v>
      </c>
    </row>
    <row r="32" spans="1:11">
      <c r="A32">
        <v>9</v>
      </c>
      <c r="B32">
        <v>1</v>
      </c>
      <c r="C32">
        <v>0</v>
      </c>
      <c r="D32">
        <v>29</v>
      </c>
      <c r="E32">
        <v>0</v>
      </c>
      <c r="F32">
        <v>19.98</v>
      </c>
      <c r="G32">
        <v>44</v>
      </c>
      <c r="H32">
        <v>3</v>
      </c>
      <c r="I32">
        <v>6</v>
      </c>
      <c r="J32">
        <v>0</v>
      </c>
      <c r="K32">
        <v>1</v>
      </c>
    </row>
    <row r="33" spans="1:11">
      <c r="A33">
        <v>12</v>
      </c>
      <c r="B33">
        <v>0</v>
      </c>
      <c r="C33">
        <v>0</v>
      </c>
      <c r="D33">
        <v>37</v>
      </c>
      <c r="E33">
        <v>0</v>
      </c>
      <c r="F33">
        <v>7.3</v>
      </c>
      <c r="G33">
        <v>55</v>
      </c>
      <c r="H33">
        <v>3</v>
      </c>
      <c r="I33">
        <v>6</v>
      </c>
      <c r="J33">
        <v>2</v>
      </c>
      <c r="K33">
        <v>1</v>
      </c>
    </row>
    <row r="34" spans="1:11">
      <c r="A34">
        <v>7</v>
      </c>
      <c r="B34">
        <v>1</v>
      </c>
      <c r="C34">
        <v>0</v>
      </c>
      <c r="D34">
        <v>44</v>
      </c>
      <c r="E34">
        <v>0</v>
      </c>
      <c r="F34">
        <v>8</v>
      </c>
      <c r="G34">
        <v>57</v>
      </c>
      <c r="H34">
        <v>3</v>
      </c>
      <c r="I34">
        <v>6</v>
      </c>
      <c r="J34">
        <v>0</v>
      </c>
      <c r="K34">
        <v>1</v>
      </c>
    </row>
    <row r="35" spans="1:11">
      <c r="A35">
        <v>12</v>
      </c>
      <c r="B35">
        <v>0</v>
      </c>
      <c r="C35">
        <v>0</v>
      </c>
      <c r="D35">
        <v>26</v>
      </c>
      <c r="E35">
        <v>1</v>
      </c>
      <c r="F35">
        <v>22.2</v>
      </c>
      <c r="G35">
        <v>44</v>
      </c>
      <c r="H35">
        <v>3</v>
      </c>
      <c r="I35">
        <v>6</v>
      </c>
      <c r="J35">
        <v>1</v>
      </c>
      <c r="K35">
        <v>1</v>
      </c>
    </row>
    <row r="36" spans="1:11">
      <c r="A36">
        <v>11</v>
      </c>
      <c r="B36">
        <v>0</v>
      </c>
      <c r="C36">
        <v>0</v>
      </c>
      <c r="D36">
        <v>16</v>
      </c>
      <c r="E36">
        <v>0</v>
      </c>
      <c r="F36">
        <v>3.65</v>
      </c>
      <c r="G36">
        <v>33</v>
      </c>
      <c r="H36">
        <v>3</v>
      </c>
      <c r="I36">
        <v>6</v>
      </c>
      <c r="J36">
        <v>0</v>
      </c>
      <c r="K36">
        <v>0</v>
      </c>
    </row>
    <row r="37" spans="1:11">
      <c r="A37">
        <v>12</v>
      </c>
      <c r="B37">
        <v>0</v>
      </c>
      <c r="C37">
        <v>0</v>
      </c>
      <c r="D37">
        <v>33</v>
      </c>
      <c r="E37">
        <v>0</v>
      </c>
      <c r="F37">
        <v>20.55</v>
      </c>
      <c r="G37">
        <v>51</v>
      </c>
      <c r="H37">
        <v>3</v>
      </c>
      <c r="I37">
        <v>6</v>
      </c>
      <c r="J37">
        <v>0</v>
      </c>
      <c r="K37">
        <v>1</v>
      </c>
    </row>
    <row r="38" spans="1:11">
      <c r="A38">
        <v>12</v>
      </c>
      <c r="B38">
        <v>0</v>
      </c>
      <c r="C38">
        <v>1</v>
      </c>
      <c r="D38">
        <v>16</v>
      </c>
      <c r="E38">
        <v>1</v>
      </c>
      <c r="F38">
        <v>5.71</v>
      </c>
      <c r="G38">
        <v>34</v>
      </c>
      <c r="H38">
        <v>3</v>
      </c>
      <c r="I38">
        <v>6</v>
      </c>
      <c r="J38">
        <v>1</v>
      </c>
      <c r="K38">
        <v>1</v>
      </c>
    </row>
    <row r="39" spans="1:11">
      <c r="A39">
        <v>7</v>
      </c>
      <c r="B39">
        <v>0</v>
      </c>
      <c r="C39">
        <v>0</v>
      </c>
      <c r="D39">
        <v>42</v>
      </c>
      <c r="E39">
        <v>1</v>
      </c>
      <c r="F39">
        <v>7</v>
      </c>
      <c r="G39">
        <v>55</v>
      </c>
      <c r="H39">
        <v>1</v>
      </c>
      <c r="I39">
        <v>6</v>
      </c>
      <c r="J39">
        <v>1</v>
      </c>
      <c r="K39">
        <v>1</v>
      </c>
    </row>
    <row r="40" spans="1:11">
      <c r="A40">
        <v>12</v>
      </c>
      <c r="B40">
        <v>0</v>
      </c>
      <c r="C40">
        <v>0</v>
      </c>
      <c r="D40">
        <v>9</v>
      </c>
      <c r="E40">
        <v>0</v>
      </c>
      <c r="F40">
        <v>3.75</v>
      </c>
      <c r="G40">
        <v>27</v>
      </c>
      <c r="H40">
        <v>3</v>
      </c>
      <c r="I40">
        <v>6</v>
      </c>
      <c r="J40">
        <v>0</v>
      </c>
      <c r="K40">
        <v>0</v>
      </c>
    </row>
    <row r="41" spans="1:11">
      <c r="A41">
        <v>11</v>
      </c>
      <c r="B41">
        <v>1</v>
      </c>
      <c r="C41">
        <v>0</v>
      </c>
      <c r="D41">
        <v>14</v>
      </c>
      <c r="E41">
        <v>0</v>
      </c>
      <c r="F41">
        <v>4.5</v>
      </c>
      <c r="G41">
        <v>31</v>
      </c>
      <c r="H41">
        <v>1</v>
      </c>
      <c r="I41">
        <v>6</v>
      </c>
      <c r="J41">
        <v>0</v>
      </c>
      <c r="K41">
        <v>1</v>
      </c>
    </row>
    <row r="42" spans="1:11">
      <c r="A42">
        <v>12</v>
      </c>
      <c r="B42">
        <v>0</v>
      </c>
      <c r="C42">
        <v>0</v>
      </c>
      <c r="D42">
        <v>23</v>
      </c>
      <c r="E42">
        <v>0</v>
      </c>
      <c r="F42">
        <v>9.56</v>
      </c>
      <c r="G42">
        <v>41</v>
      </c>
      <c r="H42">
        <v>3</v>
      </c>
      <c r="I42">
        <v>6</v>
      </c>
      <c r="J42">
        <v>0</v>
      </c>
      <c r="K42">
        <v>1</v>
      </c>
    </row>
    <row r="43" spans="1:11">
      <c r="A43">
        <v>6</v>
      </c>
      <c r="B43">
        <v>1</v>
      </c>
      <c r="C43">
        <v>0</v>
      </c>
      <c r="D43">
        <v>45</v>
      </c>
      <c r="E43">
        <v>0</v>
      </c>
      <c r="F43">
        <v>5.75</v>
      </c>
      <c r="G43">
        <v>57</v>
      </c>
      <c r="H43">
        <v>3</v>
      </c>
      <c r="I43">
        <v>6</v>
      </c>
      <c r="J43">
        <v>1</v>
      </c>
      <c r="K43">
        <v>1</v>
      </c>
    </row>
    <row r="44" spans="1:11">
      <c r="A44">
        <v>12</v>
      </c>
      <c r="B44">
        <v>0</v>
      </c>
      <c r="C44">
        <v>0</v>
      </c>
      <c r="D44">
        <v>8</v>
      </c>
      <c r="E44">
        <v>0</v>
      </c>
      <c r="F44">
        <v>9.36</v>
      </c>
      <c r="G44">
        <v>26</v>
      </c>
      <c r="H44">
        <v>3</v>
      </c>
      <c r="I44">
        <v>6</v>
      </c>
      <c r="J44">
        <v>1</v>
      </c>
      <c r="K44">
        <v>1</v>
      </c>
    </row>
    <row r="45" spans="1:11">
      <c r="A45">
        <v>10</v>
      </c>
      <c r="B45">
        <v>0</v>
      </c>
      <c r="C45">
        <v>0</v>
      </c>
      <c r="D45">
        <v>30</v>
      </c>
      <c r="E45">
        <v>0</v>
      </c>
      <c r="F45">
        <v>6.5</v>
      </c>
      <c r="G45">
        <v>46</v>
      </c>
      <c r="H45">
        <v>3</v>
      </c>
      <c r="I45">
        <v>6</v>
      </c>
      <c r="J45">
        <v>0</v>
      </c>
      <c r="K45">
        <v>1</v>
      </c>
    </row>
    <row r="46" spans="1:11">
      <c r="A46">
        <v>12</v>
      </c>
      <c r="B46">
        <v>0</v>
      </c>
      <c r="C46">
        <v>1</v>
      </c>
      <c r="D46">
        <v>8</v>
      </c>
      <c r="E46">
        <v>0</v>
      </c>
      <c r="F46">
        <v>3.35</v>
      </c>
      <c r="G46">
        <v>26</v>
      </c>
      <c r="H46">
        <v>3</v>
      </c>
      <c r="I46">
        <v>6</v>
      </c>
      <c r="J46">
        <v>1</v>
      </c>
      <c r="K46">
        <v>1</v>
      </c>
    </row>
    <row r="47" spans="1:11">
      <c r="A47">
        <v>12</v>
      </c>
      <c r="B47">
        <v>0</v>
      </c>
      <c r="C47">
        <v>0</v>
      </c>
      <c r="D47">
        <v>8</v>
      </c>
      <c r="E47">
        <v>0</v>
      </c>
      <c r="F47">
        <v>4.75</v>
      </c>
      <c r="G47">
        <v>26</v>
      </c>
      <c r="H47">
        <v>3</v>
      </c>
      <c r="I47">
        <v>6</v>
      </c>
      <c r="J47">
        <v>0</v>
      </c>
      <c r="K47">
        <v>1</v>
      </c>
    </row>
    <row r="48" spans="1:11">
      <c r="A48">
        <v>14</v>
      </c>
      <c r="B48">
        <v>0</v>
      </c>
      <c r="C48">
        <v>0</v>
      </c>
      <c r="D48">
        <v>13</v>
      </c>
      <c r="E48">
        <v>0</v>
      </c>
      <c r="F48">
        <v>8.9</v>
      </c>
      <c r="G48">
        <v>33</v>
      </c>
      <c r="H48">
        <v>3</v>
      </c>
      <c r="I48">
        <v>6</v>
      </c>
      <c r="J48">
        <v>0</v>
      </c>
      <c r="K48">
        <v>0</v>
      </c>
    </row>
    <row r="49" spans="1:11">
      <c r="A49">
        <v>12</v>
      </c>
      <c r="B49">
        <v>1</v>
      </c>
      <c r="C49">
        <v>1</v>
      </c>
      <c r="D49">
        <v>46</v>
      </c>
      <c r="E49">
        <v>0</v>
      </c>
      <c r="F49">
        <v>4</v>
      </c>
      <c r="G49">
        <v>64</v>
      </c>
      <c r="H49">
        <v>3</v>
      </c>
      <c r="I49">
        <v>6</v>
      </c>
      <c r="J49">
        <v>0</v>
      </c>
      <c r="K49">
        <v>0</v>
      </c>
    </row>
    <row r="50" spans="1:11">
      <c r="A50">
        <v>8</v>
      </c>
      <c r="B50">
        <v>0</v>
      </c>
      <c r="C50">
        <v>0</v>
      </c>
      <c r="D50">
        <v>19</v>
      </c>
      <c r="E50">
        <v>0</v>
      </c>
      <c r="F50">
        <v>4.7</v>
      </c>
      <c r="G50">
        <v>33</v>
      </c>
      <c r="H50">
        <v>3</v>
      </c>
      <c r="I50">
        <v>6</v>
      </c>
      <c r="J50">
        <v>0</v>
      </c>
      <c r="K50">
        <v>1</v>
      </c>
    </row>
    <row r="51" spans="1:11">
      <c r="A51">
        <v>17</v>
      </c>
      <c r="B51">
        <v>1</v>
      </c>
      <c r="C51">
        <v>1</v>
      </c>
      <c r="D51">
        <v>1</v>
      </c>
      <c r="E51">
        <v>0</v>
      </c>
      <c r="F51">
        <v>5</v>
      </c>
      <c r="G51">
        <v>24</v>
      </c>
      <c r="H51">
        <v>3</v>
      </c>
      <c r="I51">
        <v>6</v>
      </c>
      <c r="J51">
        <v>0</v>
      </c>
      <c r="K51">
        <v>0</v>
      </c>
    </row>
    <row r="52" spans="1:11">
      <c r="A52">
        <v>12</v>
      </c>
      <c r="B52">
        <v>0</v>
      </c>
      <c r="C52">
        <v>0</v>
      </c>
      <c r="D52">
        <v>19</v>
      </c>
      <c r="E52">
        <v>0</v>
      </c>
      <c r="F52">
        <v>9.25</v>
      </c>
      <c r="G52">
        <v>37</v>
      </c>
      <c r="H52">
        <v>3</v>
      </c>
      <c r="I52">
        <v>6</v>
      </c>
      <c r="J52">
        <v>1</v>
      </c>
      <c r="K52">
        <v>0</v>
      </c>
    </row>
    <row r="53" spans="1:11">
      <c r="A53">
        <v>12</v>
      </c>
      <c r="B53">
        <v>0</v>
      </c>
      <c r="C53">
        <v>0</v>
      </c>
      <c r="D53">
        <v>36</v>
      </c>
      <c r="E53">
        <v>0</v>
      </c>
      <c r="F53">
        <v>10.67</v>
      </c>
      <c r="G53">
        <v>54</v>
      </c>
      <c r="H53">
        <v>1</v>
      </c>
      <c r="I53">
        <v>6</v>
      </c>
      <c r="J53">
        <v>0</v>
      </c>
      <c r="K53">
        <v>0</v>
      </c>
    </row>
    <row r="54" spans="1:11">
      <c r="A54">
        <v>12</v>
      </c>
      <c r="B54">
        <v>1</v>
      </c>
      <c r="C54">
        <v>0</v>
      </c>
      <c r="D54">
        <v>20</v>
      </c>
      <c r="E54">
        <v>0</v>
      </c>
      <c r="F54">
        <v>7.61</v>
      </c>
      <c r="G54">
        <v>38</v>
      </c>
      <c r="H54">
        <v>1</v>
      </c>
      <c r="I54">
        <v>6</v>
      </c>
      <c r="J54">
        <v>2</v>
      </c>
      <c r="K54">
        <v>1</v>
      </c>
    </row>
    <row r="55" spans="1:11">
      <c r="A55">
        <v>12</v>
      </c>
      <c r="B55">
        <v>0</v>
      </c>
      <c r="C55">
        <v>0</v>
      </c>
      <c r="D55">
        <v>35</v>
      </c>
      <c r="E55">
        <v>1</v>
      </c>
      <c r="F55">
        <v>10</v>
      </c>
      <c r="G55">
        <v>53</v>
      </c>
      <c r="H55">
        <v>1</v>
      </c>
      <c r="I55">
        <v>6</v>
      </c>
      <c r="J55">
        <v>2</v>
      </c>
      <c r="K55">
        <v>1</v>
      </c>
    </row>
    <row r="56" spans="1:11">
      <c r="A56">
        <v>12</v>
      </c>
      <c r="B56">
        <v>0</v>
      </c>
      <c r="C56">
        <v>0</v>
      </c>
      <c r="D56">
        <v>3</v>
      </c>
      <c r="E56">
        <v>0</v>
      </c>
      <c r="F56">
        <v>7.5</v>
      </c>
      <c r="G56">
        <v>21</v>
      </c>
      <c r="H56">
        <v>3</v>
      </c>
      <c r="I56">
        <v>6</v>
      </c>
      <c r="J56">
        <v>0</v>
      </c>
      <c r="K56">
        <v>0</v>
      </c>
    </row>
    <row r="57" spans="1:11">
      <c r="A57">
        <v>14</v>
      </c>
      <c r="B57">
        <v>1</v>
      </c>
      <c r="C57">
        <v>0</v>
      </c>
      <c r="D57">
        <v>10</v>
      </c>
      <c r="E57">
        <v>0</v>
      </c>
      <c r="F57">
        <v>12.2</v>
      </c>
      <c r="G57">
        <v>30</v>
      </c>
      <c r="H57">
        <v>3</v>
      </c>
      <c r="I57">
        <v>6</v>
      </c>
      <c r="J57">
        <v>1</v>
      </c>
      <c r="K57">
        <v>1</v>
      </c>
    </row>
    <row r="58" spans="1:11">
      <c r="A58">
        <v>12</v>
      </c>
      <c r="B58">
        <v>0</v>
      </c>
      <c r="C58">
        <v>0</v>
      </c>
      <c r="D58">
        <v>0</v>
      </c>
      <c r="E58">
        <v>0</v>
      </c>
      <c r="F58">
        <v>3.35</v>
      </c>
      <c r="G58">
        <v>18</v>
      </c>
      <c r="H58">
        <v>3</v>
      </c>
      <c r="I58">
        <v>6</v>
      </c>
      <c r="J58">
        <v>0</v>
      </c>
      <c r="K58">
        <v>0</v>
      </c>
    </row>
    <row r="59" spans="1:11">
      <c r="A59">
        <v>14</v>
      </c>
      <c r="B59">
        <v>1</v>
      </c>
      <c r="C59">
        <v>0</v>
      </c>
      <c r="D59">
        <v>14</v>
      </c>
      <c r="E59">
        <v>1</v>
      </c>
      <c r="F59">
        <v>11</v>
      </c>
      <c r="G59">
        <v>34</v>
      </c>
      <c r="H59">
        <v>3</v>
      </c>
      <c r="I59">
        <v>6</v>
      </c>
      <c r="J59">
        <v>1</v>
      </c>
      <c r="K59">
        <v>1</v>
      </c>
    </row>
    <row r="60" spans="1:11">
      <c r="A60">
        <v>12</v>
      </c>
      <c r="B60">
        <v>0</v>
      </c>
      <c r="C60">
        <v>0</v>
      </c>
      <c r="D60">
        <v>14</v>
      </c>
      <c r="E60">
        <v>0</v>
      </c>
      <c r="F60">
        <v>12</v>
      </c>
      <c r="G60">
        <v>32</v>
      </c>
      <c r="H60">
        <v>3</v>
      </c>
      <c r="I60">
        <v>6</v>
      </c>
      <c r="J60">
        <v>1</v>
      </c>
      <c r="K60">
        <v>1</v>
      </c>
    </row>
    <row r="61" spans="1:11">
      <c r="A61">
        <v>9</v>
      </c>
      <c r="B61">
        <v>0</v>
      </c>
      <c r="C61">
        <v>1</v>
      </c>
      <c r="D61">
        <v>16</v>
      </c>
      <c r="E61">
        <v>0</v>
      </c>
      <c r="F61">
        <v>4.8499999999999996</v>
      </c>
      <c r="G61">
        <v>31</v>
      </c>
      <c r="H61">
        <v>3</v>
      </c>
      <c r="I61">
        <v>6</v>
      </c>
      <c r="J61">
        <v>1</v>
      </c>
      <c r="K61">
        <v>1</v>
      </c>
    </row>
    <row r="62" spans="1:11">
      <c r="A62">
        <v>13</v>
      </c>
      <c r="B62">
        <v>1</v>
      </c>
      <c r="C62">
        <v>0</v>
      </c>
      <c r="D62">
        <v>8</v>
      </c>
      <c r="E62">
        <v>0</v>
      </c>
      <c r="F62">
        <v>4.3</v>
      </c>
      <c r="G62">
        <v>27</v>
      </c>
      <c r="H62">
        <v>3</v>
      </c>
      <c r="I62">
        <v>6</v>
      </c>
      <c r="J62">
        <v>2</v>
      </c>
      <c r="K62">
        <v>0</v>
      </c>
    </row>
    <row r="63" spans="1:11">
      <c r="A63">
        <v>7</v>
      </c>
      <c r="B63">
        <v>1</v>
      </c>
      <c r="C63">
        <v>1</v>
      </c>
      <c r="D63">
        <v>15</v>
      </c>
      <c r="E63">
        <v>0</v>
      </c>
      <c r="F63">
        <v>6</v>
      </c>
      <c r="G63">
        <v>28</v>
      </c>
      <c r="H63">
        <v>3</v>
      </c>
      <c r="I63">
        <v>6</v>
      </c>
      <c r="J63">
        <v>1</v>
      </c>
      <c r="K63">
        <v>1</v>
      </c>
    </row>
    <row r="64" spans="1:11">
      <c r="A64">
        <v>16</v>
      </c>
      <c r="B64">
        <v>0</v>
      </c>
      <c r="C64">
        <v>0</v>
      </c>
      <c r="D64">
        <v>12</v>
      </c>
      <c r="E64">
        <v>0</v>
      </c>
      <c r="F64">
        <v>15</v>
      </c>
      <c r="G64">
        <v>34</v>
      </c>
      <c r="H64">
        <v>3</v>
      </c>
      <c r="I64">
        <v>6</v>
      </c>
      <c r="J64">
        <v>1</v>
      </c>
      <c r="K64">
        <v>1</v>
      </c>
    </row>
    <row r="65" spans="1:11">
      <c r="A65">
        <v>10</v>
      </c>
      <c r="B65">
        <v>1</v>
      </c>
      <c r="C65">
        <v>0</v>
      </c>
      <c r="D65">
        <v>13</v>
      </c>
      <c r="E65">
        <v>0</v>
      </c>
      <c r="F65">
        <v>4.8499999999999996</v>
      </c>
      <c r="G65">
        <v>29</v>
      </c>
      <c r="H65">
        <v>3</v>
      </c>
      <c r="I65">
        <v>6</v>
      </c>
      <c r="J65">
        <v>0</v>
      </c>
      <c r="K65">
        <v>0</v>
      </c>
    </row>
    <row r="66" spans="1:11">
      <c r="A66">
        <v>8</v>
      </c>
      <c r="B66">
        <v>0</v>
      </c>
      <c r="C66">
        <v>0</v>
      </c>
      <c r="D66">
        <v>33</v>
      </c>
      <c r="E66">
        <v>1</v>
      </c>
      <c r="F66">
        <v>9</v>
      </c>
      <c r="G66">
        <v>47</v>
      </c>
      <c r="H66">
        <v>3</v>
      </c>
      <c r="I66">
        <v>6</v>
      </c>
      <c r="J66">
        <v>0</v>
      </c>
      <c r="K66">
        <v>1</v>
      </c>
    </row>
    <row r="67" spans="1:11">
      <c r="A67">
        <v>12</v>
      </c>
      <c r="B67">
        <v>0</v>
      </c>
      <c r="C67">
        <v>0</v>
      </c>
      <c r="D67">
        <v>9</v>
      </c>
      <c r="E67">
        <v>0</v>
      </c>
      <c r="F67">
        <v>6.36</v>
      </c>
      <c r="G67">
        <v>27</v>
      </c>
      <c r="H67">
        <v>3</v>
      </c>
      <c r="I67">
        <v>6</v>
      </c>
      <c r="J67">
        <v>1</v>
      </c>
      <c r="K67">
        <v>1</v>
      </c>
    </row>
    <row r="68" spans="1:11">
      <c r="A68">
        <v>12</v>
      </c>
      <c r="B68">
        <v>0</v>
      </c>
      <c r="C68">
        <v>0</v>
      </c>
      <c r="D68">
        <v>7</v>
      </c>
      <c r="E68">
        <v>0</v>
      </c>
      <c r="F68">
        <v>9.15</v>
      </c>
      <c r="G68">
        <v>25</v>
      </c>
      <c r="H68">
        <v>3</v>
      </c>
      <c r="I68">
        <v>6</v>
      </c>
      <c r="J68">
        <v>0</v>
      </c>
      <c r="K68">
        <v>1</v>
      </c>
    </row>
    <row r="69" spans="1:11">
      <c r="A69">
        <v>16</v>
      </c>
      <c r="B69">
        <v>0</v>
      </c>
      <c r="C69">
        <v>0</v>
      </c>
      <c r="D69">
        <v>13</v>
      </c>
      <c r="E69">
        <v>1</v>
      </c>
      <c r="F69">
        <v>11</v>
      </c>
      <c r="G69">
        <v>35</v>
      </c>
      <c r="H69">
        <v>3</v>
      </c>
      <c r="I69">
        <v>6</v>
      </c>
      <c r="J69">
        <v>1</v>
      </c>
      <c r="K69">
        <v>1</v>
      </c>
    </row>
    <row r="70" spans="1:11">
      <c r="A70">
        <v>12</v>
      </c>
      <c r="B70">
        <v>0</v>
      </c>
      <c r="C70">
        <v>1</v>
      </c>
      <c r="D70">
        <v>7</v>
      </c>
      <c r="E70">
        <v>0</v>
      </c>
      <c r="F70">
        <v>4.5</v>
      </c>
      <c r="G70">
        <v>25</v>
      </c>
      <c r="H70">
        <v>3</v>
      </c>
      <c r="I70">
        <v>6</v>
      </c>
      <c r="J70">
        <v>1</v>
      </c>
      <c r="K70">
        <v>1</v>
      </c>
    </row>
    <row r="71" spans="1:11">
      <c r="A71">
        <v>12</v>
      </c>
      <c r="B71">
        <v>0</v>
      </c>
      <c r="C71">
        <v>1</v>
      </c>
      <c r="D71">
        <v>16</v>
      </c>
      <c r="E71">
        <v>0</v>
      </c>
      <c r="F71">
        <v>4.8</v>
      </c>
      <c r="G71">
        <v>34</v>
      </c>
      <c r="H71">
        <v>3</v>
      </c>
      <c r="I71">
        <v>6</v>
      </c>
      <c r="J71">
        <v>1</v>
      </c>
      <c r="K71">
        <v>1</v>
      </c>
    </row>
    <row r="72" spans="1:11">
      <c r="A72">
        <v>13</v>
      </c>
      <c r="B72">
        <v>0</v>
      </c>
      <c r="C72">
        <v>0</v>
      </c>
      <c r="D72">
        <v>0</v>
      </c>
      <c r="E72">
        <v>0</v>
      </c>
      <c r="F72">
        <v>4</v>
      </c>
      <c r="G72">
        <v>19</v>
      </c>
      <c r="H72">
        <v>3</v>
      </c>
      <c r="I72">
        <v>6</v>
      </c>
      <c r="J72">
        <v>0</v>
      </c>
      <c r="K72">
        <v>0</v>
      </c>
    </row>
    <row r="73" spans="1:11">
      <c r="A73">
        <v>12</v>
      </c>
      <c r="B73">
        <v>0</v>
      </c>
      <c r="C73">
        <v>1</v>
      </c>
      <c r="D73">
        <v>11</v>
      </c>
      <c r="E73">
        <v>0</v>
      </c>
      <c r="F73">
        <v>5.5</v>
      </c>
      <c r="G73">
        <v>29</v>
      </c>
      <c r="H73">
        <v>3</v>
      </c>
      <c r="I73">
        <v>6</v>
      </c>
      <c r="J73">
        <v>1</v>
      </c>
      <c r="K73">
        <v>0</v>
      </c>
    </row>
    <row r="74" spans="1:11">
      <c r="A74">
        <v>13</v>
      </c>
      <c r="B74">
        <v>0</v>
      </c>
      <c r="C74">
        <v>0</v>
      </c>
      <c r="D74">
        <v>17</v>
      </c>
      <c r="E74">
        <v>0</v>
      </c>
      <c r="F74">
        <v>8.4</v>
      </c>
      <c r="G74">
        <v>36</v>
      </c>
      <c r="H74">
        <v>3</v>
      </c>
      <c r="I74">
        <v>6</v>
      </c>
      <c r="J74">
        <v>1</v>
      </c>
      <c r="K74">
        <v>0</v>
      </c>
    </row>
    <row r="75" spans="1:11">
      <c r="A75">
        <v>10</v>
      </c>
      <c r="B75">
        <v>0</v>
      </c>
      <c r="C75">
        <v>0</v>
      </c>
      <c r="D75">
        <v>13</v>
      </c>
      <c r="E75">
        <v>0</v>
      </c>
      <c r="F75">
        <v>6.75</v>
      </c>
      <c r="G75">
        <v>29</v>
      </c>
      <c r="H75">
        <v>3</v>
      </c>
      <c r="I75">
        <v>6</v>
      </c>
      <c r="J75">
        <v>1</v>
      </c>
      <c r="K75">
        <v>1</v>
      </c>
    </row>
    <row r="76" spans="1:11">
      <c r="A76">
        <v>12</v>
      </c>
      <c r="B76">
        <v>0</v>
      </c>
      <c r="C76">
        <v>0</v>
      </c>
      <c r="D76">
        <v>22</v>
      </c>
      <c r="E76">
        <v>1</v>
      </c>
      <c r="F76">
        <v>10</v>
      </c>
      <c r="G76">
        <v>40</v>
      </c>
      <c r="H76">
        <v>1</v>
      </c>
      <c r="I76">
        <v>6</v>
      </c>
      <c r="J76">
        <v>1</v>
      </c>
      <c r="K76">
        <v>0</v>
      </c>
    </row>
    <row r="77" spans="1:11">
      <c r="A77">
        <v>12</v>
      </c>
      <c r="B77">
        <v>0</v>
      </c>
      <c r="C77">
        <v>1</v>
      </c>
      <c r="D77">
        <v>28</v>
      </c>
      <c r="E77">
        <v>0</v>
      </c>
      <c r="F77">
        <v>5</v>
      </c>
      <c r="G77">
        <v>46</v>
      </c>
      <c r="H77">
        <v>3</v>
      </c>
      <c r="I77">
        <v>6</v>
      </c>
      <c r="J77">
        <v>1</v>
      </c>
      <c r="K77">
        <v>1</v>
      </c>
    </row>
    <row r="78" spans="1:11">
      <c r="A78">
        <v>11</v>
      </c>
      <c r="B78">
        <v>0</v>
      </c>
      <c r="C78">
        <v>0</v>
      </c>
      <c r="D78">
        <v>17</v>
      </c>
      <c r="E78">
        <v>0</v>
      </c>
      <c r="F78">
        <v>6.5</v>
      </c>
      <c r="G78">
        <v>34</v>
      </c>
      <c r="H78">
        <v>3</v>
      </c>
      <c r="I78">
        <v>6</v>
      </c>
      <c r="J78">
        <v>0</v>
      </c>
      <c r="K78">
        <v>0</v>
      </c>
    </row>
    <row r="79" spans="1:11">
      <c r="A79">
        <v>12</v>
      </c>
      <c r="B79">
        <v>0</v>
      </c>
      <c r="C79">
        <v>0</v>
      </c>
      <c r="D79">
        <v>24</v>
      </c>
      <c r="E79">
        <v>1</v>
      </c>
      <c r="F79">
        <v>10.75</v>
      </c>
      <c r="G79">
        <v>42</v>
      </c>
      <c r="H79">
        <v>3</v>
      </c>
      <c r="I79">
        <v>6</v>
      </c>
      <c r="J79">
        <v>2</v>
      </c>
      <c r="K79">
        <v>1</v>
      </c>
    </row>
    <row r="80" spans="1:11">
      <c r="A80">
        <v>3</v>
      </c>
      <c r="B80">
        <v>1</v>
      </c>
      <c r="C80">
        <v>0</v>
      </c>
      <c r="D80">
        <v>55</v>
      </c>
      <c r="E80">
        <v>0</v>
      </c>
      <c r="F80">
        <v>7</v>
      </c>
      <c r="G80">
        <v>64</v>
      </c>
      <c r="H80">
        <v>2</v>
      </c>
      <c r="I80">
        <v>6</v>
      </c>
      <c r="J80">
        <v>1</v>
      </c>
      <c r="K80">
        <v>1</v>
      </c>
    </row>
    <row r="81" spans="1:11">
      <c r="A81">
        <v>12</v>
      </c>
      <c r="B81">
        <v>1</v>
      </c>
      <c r="C81">
        <v>0</v>
      </c>
      <c r="D81">
        <v>3</v>
      </c>
      <c r="E81">
        <v>0</v>
      </c>
      <c r="F81">
        <v>11.43</v>
      </c>
      <c r="G81">
        <v>21</v>
      </c>
      <c r="H81">
        <v>3</v>
      </c>
      <c r="I81">
        <v>6</v>
      </c>
      <c r="J81">
        <v>2</v>
      </c>
      <c r="K81">
        <v>0</v>
      </c>
    </row>
    <row r="82" spans="1:11">
      <c r="A82">
        <v>12</v>
      </c>
      <c r="B82">
        <v>0</v>
      </c>
      <c r="C82">
        <v>0</v>
      </c>
      <c r="D82">
        <v>6</v>
      </c>
      <c r="E82">
        <v>1</v>
      </c>
      <c r="F82">
        <v>4</v>
      </c>
      <c r="G82">
        <v>24</v>
      </c>
      <c r="H82">
        <v>1</v>
      </c>
      <c r="I82">
        <v>6</v>
      </c>
      <c r="J82">
        <v>1</v>
      </c>
      <c r="K82">
        <v>0</v>
      </c>
    </row>
    <row r="83" spans="1:11">
      <c r="A83">
        <v>10</v>
      </c>
      <c r="B83">
        <v>0</v>
      </c>
      <c r="C83">
        <v>0</v>
      </c>
      <c r="D83">
        <v>27</v>
      </c>
      <c r="E83">
        <v>0</v>
      </c>
      <c r="F83">
        <v>9</v>
      </c>
      <c r="G83">
        <v>43</v>
      </c>
      <c r="H83">
        <v>3</v>
      </c>
      <c r="I83">
        <v>6</v>
      </c>
      <c r="J83">
        <v>2</v>
      </c>
      <c r="K83">
        <v>1</v>
      </c>
    </row>
    <row r="84" spans="1:11">
      <c r="A84">
        <v>12</v>
      </c>
      <c r="B84">
        <v>1</v>
      </c>
      <c r="C84">
        <v>0</v>
      </c>
      <c r="D84">
        <v>19</v>
      </c>
      <c r="E84">
        <v>1</v>
      </c>
      <c r="F84">
        <v>13</v>
      </c>
      <c r="G84">
        <v>37</v>
      </c>
      <c r="H84">
        <v>1</v>
      </c>
      <c r="I84">
        <v>6</v>
      </c>
      <c r="J84">
        <v>1</v>
      </c>
      <c r="K84">
        <v>1</v>
      </c>
    </row>
    <row r="85" spans="1:11">
      <c r="A85">
        <v>12</v>
      </c>
      <c r="B85">
        <v>0</v>
      </c>
      <c r="C85">
        <v>0</v>
      </c>
      <c r="D85">
        <v>19</v>
      </c>
      <c r="E85">
        <v>1</v>
      </c>
      <c r="F85">
        <v>12.22</v>
      </c>
      <c r="G85">
        <v>37</v>
      </c>
      <c r="H85">
        <v>3</v>
      </c>
      <c r="I85">
        <v>6</v>
      </c>
      <c r="J85">
        <v>2</v>
      </c>
      <c r="K85">
        <v>1</v>
      </c>
    </row>
    <row r="86" spans="1:11">
      <c r="A86">
        <v>12</v>
      </c>
      <c r="B86">
        <v>0</v>
      </c>
      <c r="C86">
        <v>1</v>
      </c>
      <c r="D86">
        <v>38</v>
      </c>
      <c r="E86">
        <v>0</v>
      </c>
      <c r="F86">
        <v>6.28</v>
      </c>
      <c r="G86">
        <v>56</v>
      </c>
      <c r="H86">
        <v>3</v>
      </c>
      <c r="I86">
        <v>6</v>
      </c>
      <c r="J86">
        <v>1</v>
      </c>
      <c r="K86">
        <v>1</v>
      </c>
    </row>
    <row r="87" spans="1:11">
      <c r="A87">
        <v>10</v>
      </c>
      <c r="B87">
        <v>1</v>
      </c>
      <c r="C87">
        <v>0</v>
      </c>
      <c r="D87">
        <v>41</v>
      </c>
      <c r="E87">
        <v>1</v>
      </c>
      <c r="F87">
        <v>6.75</v>
      </c>
      <c r="G87">
        <v>57</v>
      </c>
      <c r="H87">
        <v>1</v>
      </c>
      <c r="I87">
        <v>6</v>
      </c>
      <c r="J87">
        <v>1</v>
      </c>
      <c r="K87">
        <v>1</v>
      </c>
    </row>
    <row r="88" spans="1:11">
      <c r="A88">
        <v>11</v>
      </c>
      <c r="B88">
        <v>1</v>
      </c>
      <c r="C88">
        <v>0</v>
      </c>
      <c r="D88">
        <v>3</v>
      </c>
      <c r="E88">
        <v>0</v>
      </c>
      <c r="F88">
        <v>3.35</v>
      </c>
      <c r="G88">
        <v>20</v>
      </c>
      <c r="H88">
        <v>1</v>
      </c>
      <c r="I88">
        <v>6</v>
      </c>
      <c r="J88">
        <v>1</v>
      </c>
      <c r="K88">
        <v>0</v>
      </c>
    </row>
    <row r="89" spans="1:11">
      <c r="A89">
        <v>14</v>
      </c>
      <c r="B89">
        <v>0</v>
      </c>
      <c r="C89">
        <v>0</v>
      </c>
      <c r="D89">
        <v>20</v>
      </c>
      <c r="E89">
        <v>1</v>
      </c>
      <c r="F89">
        <v>16</v>
      </c>
      <c r="G89">
        <v>40</v>
      </c>
      <c r="H89">
        <v>3</v>
      </c>
      <c r="I89">
        <v>6</v>
      </c>
      <c r="J89">
        <v>0</v>
      </c>
      <c r="K89">
        <v>1</v>
      </c>
    </row>
    <row r="90" spans="1:11">
      <c r="A90">
        <v>10</v>
      </c>
      <c r="B90">
        <v>0</v>
      </c>
      <c r="C90">
        <v>0</v>
      </c>
      <c r="D90">
        <v>15</v>
      </c>
      <c r="E90">
        <v>0</v>
      </c>
      <c r="F90">
        <v>5.25</v>
      </c>
      <c r="G90">
        <v>31</v>
      </c>
      <c r="H90">
        <v>3</v>
      </c>
      <c r="I90">
        <v>6</v>
      </c>
      <c r="J90">
        <v>0</v>
      </c>
      <c r="K90">
        <v>1</v>
      </c>
    </row>
    <row r="91" spans="1:11">
      <c r="A91">
        <v>8</v>
      </c>
      <c r="B91">
        <v>1</v>
      </c>
      <c r="C91">
        <v>0</v>
      </c>
      <c r="D91">
        <v>8</v>
      </c>
      <c r="E91">
        <v>0</v>
      </c>
      <c r="F91">
        <v>3.5</v>
      </c>
      <c r="G91">
        <v>22</v>
      </c>
      <c r="H91">
        <v>2</v>
      </c>
      <c r="I91">
        <v>6</v>
      </c>
      <c r="J91">
        <v>1</v>
      </c>
      <c r="K91">
        <v>1</v>
      </c>
    </row>
    <row r="92" spans="1:11">
      <c r="A92">
        <v>8</v>
      </c>
      <c r="B92">
        <v>1</v>
      </c>
      <c r="C92">
        <v>1</v>
      </c>
      <c r="D92">
        <v>39</v>
      </c>
      <c r="E92">
        <v>0</v>
      </c>
      <c r="F92">
        <v>4.22</v>
      </c>
      <c r="G92">
        <v>53</v>
      </c>
      <c r="H92">
        <v>3</v>
      </c>
      <c r="I92">
        <v>6</v>
      </c>
      <c r="J92">
        <v>1</v>
      </c>
      <c r="K92">
        <v>1</v>
      </c>
    </row>
    <row r="93" spans="1:11">
      <c r="A93">
        <v>6</v>
      </c>
      <c r="B93">
        <v>0</v>
      </c>
      <c r="C93">
        <v>1</v>
      </c>
      <c r="D93">
        <v>43</v>
      </c>
      <c r="E93">
        <v>1</v>
      </c>
      <c r="F93">
        <v>3</v>
      </c>
      <c r="G93">
        <v>55</v>
      </c>
      <c r="H93">
        <v>2</v>
      </c>
      <c r="I93">
        <v>6</v>
      </c>
      <c r="J93">
        <v>1</v>
      </c>
      <c r="K93">
        <v>1</v>
      </c>
    </row>
    <row r="94" spans="1:11">
      <c r="A94">
        <v>11</v>
      </c>
      <c r="B94">
        <v>1</v>
      </c>
      <c r="C94">
        <v>1</v>
      </c>
      <c r="D94">
        <v>25</v>
      </c>
      <c r="E94">
        <v>1</v>
      </c>
      <c r="F94">
        <v>4</v>
      </c>
      <c r="G94">
        <v>42</v>
      </c>
      <c r="H94">
        <v>3</v>
      </c>
      <c r="I94">
        <v>6</v>
      </c>
      <c r="J94">
        <v>1</v>
      </c>
      <c r="K94">
        <v>1</v>
      </c>
    </row>
    <row r="95" spans="1:11">
      <c r="A95">
        <v>12</v>
      </c>
      <c r="B95">
        <v>0</v>
      </c>
      <c r="C95">
        <v>0</v>
      </c>
      <c r="D95">
        <v>11</v>
      </c>
      <c r="E95">
        <v>1</v>
      </c>
      <c r="F95">
        <v>10</v>
      </c>
      <c r="G95">
        <v>29</v>
      </c>
      <c r="H95">
        <v>3</v>
      </c>
      <c r="I95">
        <v>6</v>
      </c>
      <c r="J95">
        <v>0</v>
      </c>
      <c r="K95">
        <v>1</v>
      </c>
    </row>
    <row r="96" spans="1:11">
      <c r="A96">
        <v>12</v>
      </c>
      <c r="B96">
        <v>0</v>
      </c>
      <c r="C96">
        <v>0</v>
      </c>
      <c r="D96">
        <v>12</v>
      </c>
      <c r="E96">
        <v>0</v>
      </c>
      <c r="F96">
        <v>5</v>
      </c>
      <c r="G96">
        <v>30</v>
      </c>
      <c r="H96">
        <v>1</v>
      </c>
      <c r="I96">
        <v>6</v>
      </c>
      <c r="J96">
        <v>0</v>
      </c>
      <c r="K96">
        <v>1</v>
      </c>
    </row>
    <row r="97" spans="1:11">
      <c r="A97">
        <v>12</v>
      </c>
      <c r="B97">
        <v>1</v>
      </c>
      <c r="C97">
        <v>0</v>
      </c>
      <c r="D97">
        <v>35</v>
      </c>
      <c r="E97">
        <v>1</v>
      </c>
      <c r="F97">
        <v>16</v>
      </c>
      <c r="G97">
        <v>53</v>
      </c>
      <c r="H97">
        <v>3</v>
      </c>
      <c r="I97">
        <v>6</v>
      </c>
      <c r="J97">
        <v>1</v>
      </c>
      <c r="K97">
        <v>1</v>
      </c>
    </row>
    <row r="98" spans="1:11">
      <c r="A98">
        <v>14</v>
      </c>
      <c r="B98">
        <v>0</v>
      </c>
      <c r="C98">
        <v>0</v>
      </c>
      <c r="D98">
        <v>14</v>
      </c>
      <c r="E98">
        <v>0</v>
      </c>
      <c r="F98">
        <v>13.98</v>
      </c>
      <c r="G98">
        <v>34</v>
      </c>
      <c r="H98">
        <v>3</v>
      </c>
      <c r="I98">
        <v>6</v>
      </c>
      <c r="J98">
        <v>0</v>
      </c>
      <c r="K98">
        <v>0</v>
      </c>
    </row>
    <row r="99" spans="1:11">
      <c r="A99">
        <v>12</v>
      </c>
      <c r="B99">
        <v>0</v>
      </c>
      <c r="C99">
        <v>0</v>
      </c>
      <c r="D99">
        <v>16</v>
      </c>
      <c r="E99">
        <v>1</v>
      </c>
      <c r="F99">
        <v>13.26</v>
      </c>
      <c r="G99">
        <v>34</v>
      </c>
      <c r="H99">
        <v>3</v>
      </c>
      <c r="I99">
        <v>6</v>
      </c>
      <c r="J99">
        <v>0</v>
      </c>
      <c r="K99">
        <v>1</v>
      </c>
    </row>
    <row r="100" spans="1:11">
      <c r="A100">
        <v>10</v>
      </c>
      <c r="B100">
        <v>0</v>
      </c>
      <c r="C100">
        <v>1</v>
      </c>
      <c r="D100">
        <v>44</v>
      </c>
      <c r="E100">
        <v>1</v>
      </c>
      <c r="F100">
        <v>6.1</v>
      </c>
      <c r="G100">
        <v>60</v>
      </c>
      <c r="H100">
        <v>3</v>
      </c>
      <c r="I100">
        <v>6</v>
      </c>
      <c r="J100">
        <v>1</v>
      </c>
      <c r="K100">
        <v>0</v>
      </c>
    </row>
    <row r="101" spans="1:11">
      <c r="A101">
        <v>16</v>
      </c>
      <c r="B101">
        <v>1</v>
      </c>
      <c r="C101">
        <v>1</v>
      </c>
      <c r="D101">
        <v>13</v>
      </c>
      <c r="E101">
        <v>0</v>
      </c>
      <c r="F101">
        <v>3.75</v>
      </c>
      <c r="G101">
        <v>35</v>
      </c>
      <c r="H101">
        <v>3</v>
      </c>
      <c r="I101">
        <v>6</v>
      </c>
      <c r="J101">
        <v>0</v>
      </c>
      <c r="K101">
        <v>0</v>
      </c>
    </row>
    <row r="102" spans="1:11">
      <c r="A102">
        <v>13</v>
      </c>
      <c r="B102">
        <v>0</v>
      </c>
      <c r="C102">
        <v>0</v>
      </c>
      <c r="D102">
        <v>8</v>
      </c>
      <c r="E102">
        <v>1</v>
      </c>
      <c r="F102">
        <v>9</v>
      </c>
      <c r="G102">
        <v>27</v>
      </c>
      <c r="H102">
        <v>1</v>
      </c>
      <c r="I102">
        <v>6</v>
      </c>
      <c r="J102">
        <v>1</v>
      </c>
      <c r="K102">
        <v>0</v>
      </c>
    </row>
    <row r="103" spans="1:11">
      <c r="A103">
        <v>12</v>
      </c>
      <c r="B103">
        <v>0</v>
      </c>
      <c r="C103">
        <v>0</v>
      </c>
      <c r="D103">
        <v>13</v>
      </c>
      <c r="E103">
        <v>0</v>
      </c>
      <c r="F103">
        <v>9.4499999999999993</v>
      </c>
      <c r="G103">
        <v>31</v>
      </c>
      <c r="H103">
        <v>3</v>
      </c>
      <c r="I103">
        <v>6</v>
      </c>
      <c r="J103">
        <v>1</v>
      </c>
      <c r="K103">
        <v>0</v>
      </c>
    </row>
    <row r="104" spans="1:11">
      <c r="A104">
        <v>11</v>
      </c>
      <c r="B104">
        <v>0</v>
      </c>
      <c r="C104">
        <v>0</v>
      </c>
      <c r="D104">
        <v>18</v>
      </c>
      <c r="E104">
        <v>1</v>
      </c>
      <c r="F104">
        <v>5.5</v>
      </c>
      <c r="G104">
        <v>35</v>
      </c>
      <c r="H104">
        <v>3</v>
      </c>
      <c r="I104">
        <v>6</v>
      </c>
      <c r="J104">
        <v>0</v>
      </c>
      <c r="K104">
        <v>1</v>
      </c>
    </row>
    <row r="105" spans="1:11">
      <c r="A105">
        <v>12</v>
      </c>
      <c r="B105">
        <v>0</v>
      </c>
      <c r="C105">
        <v>1</v>
      </c>
      <c r="D105">
        <v>18</v>
      </c>
      <c r="E105">
        <v>0</v>
      </c>
      <c r="F105">
        <v>8.93</v>
      </c>
      <c r="G105">
        <v>36</v>
      </c>
      <c r="H105">
        <v>3</v>
      </c>
      <c r="I105">
        <v>6</v>
      </c>
      <c r="J105">
        <v>0</v>
      </c>
      <c r="K105">
        <v>1</v>
      </c>
    </row>
    <row r="106" spans="1:11">
      <c r="A106">
        <v>12</v>
      </c>
      <c r="B106">
        <v>1</v>
      </c>
      <c r="C106">
        <v>1</v>
      </c>
      <c r="D106">
        <v>6</v>
      </c>
      <c r="E106">
        <v>0</v>
      </c>
      <c r="F106">
        <v>6.25</v>
      </c>
      <c r="G106">
        <v>24</v>
      </c>
      <c r="H106">
        <v>3</v>
      </c>
      <c r="I106">
        <v>6</v>
      </c>
      <c r="J106">
        <v>0</v>
      </c>
      <c r="K106">
        <v>0</v>
      </c>
    </row>
    <row r="107" spans="1:11">
      <c r="A107">
        <v>11</v>
      </c>
      <c r="B107">
        <v>1</v>
      </c>
      <c r="C107">
        <v>0</v>
      </c>
      <c r="D107">
        <v>37</v>
      </c>
      <c r="E107">
        <v>1</v>
      </c>
      <c r="F107">
        <v>9.75</v>
      </c>
      <c r="G107">
        <v>54</v>
      </c>
      <c r="H107">
        <v>3</v>
      </c>
      <c r="I107">
        <v>6</v>
      </c>
      <c r="J107">
        <v>1</v>
      </c>
      <c r="K107">
        <v>1</v>
      </c>
    </row>
    <row r="108" spans="1:11">
      <c r="A108">
        <v>12</v>
      </c>
      <c r="B108">
        <v>1</v>
      </c>
      <c r="C108">
        <v>0</v>
      </c>
      <c r="D108">
        <v>2</v>
      </c>
      <c r="E108">
        <v>0</v>
      </c>
      <c r="F108">
        <v>6.73</v>
      </c>
      <c r="G108">
        <v>20</v>
      </c>
      <c r="H108">
        <v>3</v>
      </c>
      <c r="I108">
        <v>6</v>
      </c>
      <c r="J108">
        <v>1</v>
      </c>
      <c r="K108">
        <v>1</v>
      </c>
    </row>
    <row r="109" spans="1:11">
      <c r="A109">
        <v>12</v>
      </c>
      <c r="B109">
        <v>0</v>
      </c>
      <c r="C109">
        <v>0</v>
      </c>
      <c r="D109">
        <v>23</v>
      </c>
      <c r="E109">
        <v>0</v>
      </c>
      <c r="F109">
        <v>7.78</v>
      </c>
      <c r="G109">
        <v>41</v>
      </c>
      <c r="H109">
        <v>3</v>
      </c>
      <c r="I109">
        <v>6</v>
      </c>
      <c r="J109">
        <v>1</v>
      </c>
      <c r="K109">
        <v>1</v>
      </c>
    </row>
    <row r="110" spans="1:11">
      <c r="A110">
        <v>12</v>
      </c>
      <c r="B110">
        <v>0</v>
      </c>
      <c r="C110">
        <v>0</v>
      </c>
      <c r="D110">
        <v>1</v>
      </c>
      <c r="E110">
        <v>0</v>
      </c>
      <c r="F110">
        <v>2.85</v>
      </c>
      <c r="G110">
        <v>19</v>
      </c>
      <c r="H110">
        <v>3</v>
      </c>
      <c r="I110">
        <v>6</v>
      </c>
      <c r="J110">
        <v>0</v>
      </c>
      <c r="K110">
        <v>0</v>
      </c>
    </row>
    <row r="111" spans="1:11">
      <c r="A111">
        <v>12</v>
      </c>
      <c r="B111">
        <v>1</v>
      </c>
      <c r="C111">
        <v>1</v>
      </c>
      <c r="D111">
        <v>10</v>
      </c>
      <c r="E111">
        <v>0</v>
      </c>
      <c r="F111">
        <v>3.35</v>
      </c>
      <c r="G111">
        <v>28</v>
      </c>
      <c r="H111">
        <v>1</v>
      </c>
      <c r="I111">
        <v>6</v>
      </c>
      <c r="J111">
        <v>1</v>
      </c>
      <c r="K111">
        <v>1</v>
      </c>
    </row>
    <row r="112" spans="1:11">
      <c r="A112">
        <v>12</v>
      </c>
      <c r="B112">
        <v>0</v>
      </c>
      <c r="C112">
        <v>0</v>
      </c>
      <c r="D112">
        <v>23</v>
      </c>
      <c r="E112">
        <v>0</v>
      </c>
      <c r="F112">
        <v>19.98</v>
      </c>
      <c r="G112">
        <v>41</v>
      </c>
      <c r="H112">
        <v>3</v>
      </c>
      <c r="I112">
        <v>6</v>
      </c>
      <c r="J112">
        <v>1</v>
      </c>
      <c r="K112">
        <v>1</v>
      </c>
    </row>
    <row r="113" spans="1:11">
      <c r="A113">
        <v>12</v>
      </c>
      <c r="B113">
        <v>0</v>
      </c>
      <c r="C113">
        <v>0</v>
      </c>
      <c r="D113">
        <v>8</v>
      </c>
      <c r="E113">
        <v>1</v>
      </c>
      <c r="F113">
        <v>8.5</v>
      </c>
      <c r="G113">
        <v>26</v>
      </c>
      <c r="H113">
        <v>1</v>
      </c>
      <c r="I113">
        <v>6</v>
      </c>
      <c r="J113">
        <v>0</v>
      </c>
      <c r="K113">
        <v>1</v>
      </c>
    </row>
    <row r="114" spans="1:11">
      <c r="A114">
        <v>15</v>
      </c>
      <c r="B114">
        <v>0</v>
      </c>
      <c r="C114">
        <v>1</v>
      </c>
      <c r="D114">
        <v>9</v>
      </c>
      <c r="E114">
        <v>0</v>
      </c>
      <c r="F114">
        <v>9.75</v>
      </c>
      <c r="G114">
        <v>30</v>
      </c>
      <c r="H114">
        <v>3</v>
      </c>
      <c r="I114">
        <v>6</v>
      </c>
      <c r="J114">
        <v>1</v>
      </c>
      <c r="K114">
        <v>1</v>
      </c>
    </row>
    <row r="115" spans="1:11">
      <c r="A115">
        <v>12</v>
      </c>
      <c r="B115">
        <v>0</v>
      </c>
      <c r="C115">
        <v>0</v>
      </c>
      <c r="D115">
        <v>33</v>
      </c>
      <c r="E115">
        <v>1</v>
      </c>
      <c r="F115">
        <v>15</v>
      </c>
      <c r="G115">
        <v>51</v>
      </c>
      <c r="H115">
        <v>3</v>
      </c>
      <c r="I115">
        <v>6</v>
      </c>
      <c r="J115">
        <v>2</v>
      </c>
      <c r="K115">
        <v>1</v>
      </c>
    </row>
    <row r="116" spans="1:11">
      <c r="A116">
        <v>12</v>
      </c>
      <c r="B116">
        <v>0</v>
      </c>
      <c r="C116">
        <v>1</v>
      </c>
      <c r="D116">
        <v>19</v>
      </c>
      <c r="E116">
        <v>0</v>
      </c>
      <c r="F116">
        <v>8</v>
      </c>
      <c r="G116">
        <v>37</v>
      </c>
      <c r="H116">
        <v>3</v>
      </c>
      <c r="I116">
        <v>6</v>
      </c>
      <c r="J116">
        <v>1</v>
      </c>
      <c r="K116">
        <v>1</v>
      </c>
    </row>
    <row r="117" spans="1:11">
      <c r="A117">
        <v>13</v>
      </c>
      <c r="B117">
        <v>0</v>
      </c>
      <c r="C117">
        <v>0</v>
      </c>
      <c r="D117">
        <v>14</v>
      </c>
      <c r="E117">
        <v>0</v>
      </c>
      <c r="F117">
        <v>11.25</v>
      </c>
      <c r="G117">
        <v>33</v>
      </c>
      <c r="H117">
        <v>3</v>
      </c>
      <c r="I117">
        <v>6</v>
      </c>
      <c r="J117">
        <v>0</v>
      </c>
      <c r="K117">
        <v>1</v>
      </c>
    </row>
    <row r="118" spans="1:11">
      <c r="A118">
        <v>11</v>
      </c>
      <c r="B118">
        <v>0</v>
      </c>
      <c r="C118">
        <v>0</v>
      </c>
      <c r="D118">
        <v>13</v>
      </c>
      <c r="E118">
        <v>1</v>
      </c>
      <c r="F118">
        <v>14</v>
      </c>
      <c r="G118">
        <v>30</v>
      </c>
      <c r="H118">
        <v>3</v>
      </c>
      <c r="I118">
        <v>6</v>
      </c>
      <c r="J118">
        <v>0</v>
      </c>
      <c r="K118">
        <v>1</v>
      </c>
    </row>
    <row r="119" spans="1:11">
      <c r="A119">
        <v>10</v>
      </c>
      <c r="B119">
        <v>0</v>
      </c>
      <c r="C119">
        <v>0</v>
      </c>
      <c r="D119">
        <v>12</v>
      </c>
      <c r="E119">
        <v>0</v>
      </c>
      <c r="F119">
        <v>10</v>
      </c>
      <c r="G119">
        <v>28</v>
      </c>
      <c r="H119">
        <v>3</v>
      </c>
      <c r="I119">
        <v>6</v>
      </c>
      <c r="J119">
        <v>2</v>
      </c>
      <c r="K119">
        <v>1</v>
      </c>
    </row>
    <row r="120" spans="1:11">
      <c r="A120">
        <v>12</v>
      </c>
      <c r="B120">
        <v>0</v>
      </c>
      <c r="C120">
        <v>0</v>
      </c>
      <c r="D120">
        <v>8</v>
      </c>
      <c r="E120">
        <v>0</v>
      </c>
      <c r="F120">
        <v>6.5</v>
      </c>
      <c r="G120">
        <v>26</v>
      </c>
      <c r="H120">
        <v>3</v>
      </c>
      <c r="I120">
        <v>6</v>
      </c>
      <c r="J120">
        <v>0</v>
      </c>
      <c r="K120">
        <v>0</v>
      </c>
    </row>
    <row r="121" spans="1:11">
      <c r="A121">
        <v>12</v>
      </c>
      <c r="B121">
        <v>0</v>
      </c>
      <c r="C121">
        <v>0</v>
      </c>
      <c r="D121">
        <v>23</v>
      </c>
      <c r="E121">
        <v>0</v>
      </c>
      <c r="F121">
        <v>9.83</v>
      </c>
      <c r="G121">
        <v>41</v>
      </c>
      <c r="H121">
        <v>3</v>
      </c>
      <c r="I121">
        <v>6</v>
      </c>
      <c r="J121">
        <v>1</v>
      </c>
      <c r="K121">
        <v>1</v>
      </c>
    </row>
    <row r="122" spans="1:11">
      <c r="A122">
        <v>14</v>
      </c>
      <c r="B122">
        <v>0</v>
      </c>
      <c r="C122">
        <v>1</v>
      </c>
      <c r="D122">
        <v>13</v>
      </c>
      <c r="E122">
        <v>0</v>
      </c>
      <c r="F122">
        <v>18.5</v>
      </c>
      <c r="G122">
        <v>33</v>
      </c>
      <c r="H122">
        <v>3</v>
      </c>
      <c r="I122">
        <v>6</v>
      </c>
      <c r="J122">
        <v>1</v>
      </c>
      <c r="K122">
        <v>0</v>
      </c>
    </row>
    <row r="123" spans="1:11">
      <c r="A123">
        <v>12</v>
      </c>
      <c r="B123">
        <v>1</v>
      </c>
      <c r="C123">
        <v>0</v>
      </c>
      <c r="D123">
        <v>9</v>
      </c>
      <c r="E123">
        <v>0</v>
      </c>
      <c r="F123">
        <v>12.5</v>
      </c>
      <c r="G123">
        <v>27</v>
      </c>
      <c r="H123">
        <v>3</v>
      </c>
      <c r="I123">
        <v>6</v>
      </c>
      <c r="J123">
        <v>0</v>
      </c>
      <c r="K123">
        <v>1</v>
      </c>
    </row>
    <row r="124" spans="1:11">
      <c r="A124">
        <v>14</v>
      </c>
      <c r="B124">
        <v>0</v>
      </c>
      <c r="C124">
        <v>0</v>
      </c>
      <c r="D124">
        <v>21</v>
      </c>
      <c r="E124">
        <v>1</v>
      </c>
      <c r="F124">
        <v>26</v>
      </c>
      <c r="G124">
        <v>41</v>
      </c>
      <c r="H124">
        <v>3</v>
      </c>
      <c r="I124">
        <v>6</v>
      </c>
      <c r="J124">
        <v>0</v>
      </c>
      <c r="K124">
        <v>1</v>
      </c>
    </row>
    <row r="125" spans="1:11">
      <c r="A125">
        <v>5</v>
      </c>
      <c r="B125">
        <v>1</v>
      </c>
      <c r="C125">
        <v>0</v>
      </c>
      <c r="D125">
        <v>44</v>
      </c>
      <c r="E125">
        <v>0</v>
      </c>
      <c r="F125">
        <v>14</v>
      </c>
      <c r="G125">
        <v>55</v>
      </c>
      <c r="H125">
        <v>3</v>
      </c>
      <c r="I125">
        <v>6</v>
      </c>
      <c r="J125">
        <v>2</v>
      </c>
      <c r="K125">
        <v>1</v>
      </c>
    </row>
    <row r="126" spans="1:11">
      <c r="A126">
        <v>12</v>
      </c>
      <c r="B126">
        <v>0</v>
      </c>
      <c r="C126">
        <v>0</v>
      </c>
      <c r="D126">
        <v>4</v>
      </c>
      <c r="E126">
        <v>1</v>
      </c>
      <c r="F126">
        <v>10.5</v>
      </c>
      <c r="G126">
        <v>22</v>
      </c>
      <c r="H126">
        <v>3</v>
      </c>
      <c r="I126">
        <v>6</v>
      </c>
      <c r="J126">
        <v>0</v>
      </c>
      <c r="K126">
        <v>1</v>
      </c>
    </row>
    <row r="127" spans="1:11">
      <c r="A127">
        <v>8</v>
      </c>
      <c r="B127">
        <v>0</v>
      </c>
      <c r="C127">
        <v>0</v>
      </c>
      <c r="D127">
        <v>42</v>
      </c>
      <c r="E127">
        <v>0</v>
      </c>
      <c r="F127">
        <v>11</v>
      </c>
      <c r="G127">
        <v>56</v>
      </c>
      <c r="H127">
        <v>3</v>
      </c>
      <c r="I127">
        <v>6</v>
      </c>
      <c r="J127">
        <v>1</v>
      </c>
      <c r="K127">
        <v>1</v>
      </c>
    </row>
    <row r="128" spans="1:11">
      <c r="A128">
        <v>13</v>
      </c>
      <c r="B128">
        <v>0</v>
      </c>
      <c r="C128">
        <v>0</v>
      </c>
      <c r="D128">
        <v>10</v>
      </c>
      <c r="E128">
        <v>1</v>
      </c>
      <c r="F128">
        <v>12.47</v>
      </c>
      <c r="G128">
        <v>29</v>
      </c>
      <c r="H128">
        <v>3</v>
      </c>
      <c r="I128">
        <v>6</v>
      </c>
      <c r="J128">
        <v>0</v>
      </c>
      <c r="K128">
        <v>1</v>
      </c>
    </row>
    <row r="129" spans="1:11">
      <c r="A129">
        <v>12</v>
      </c>
      <c r="B129">
        <v>0</v>
      </c>
      <c r="C129">
        <v>0</v>
      </c>
      <c r="D129">
        <v>11</v>
      </c>
      <c r="E129">
        <v>0</v>
      </c>
      <c r="F129">
        <v>12.5</v>
      </c>
      <c r="G129">
        <v>29</v>
      </c>
      <c r="H129">
        <v>3</v>
      </c>
      <c r="I129">
        <v>6</v>
      </c>
      <c r="J129">
        <v>2</v>
      </c>
      <c r="K129">
        <v>0</v>
      </c>
    </row>
    <row r="130" spans="1:11">
      <c r="A130">
        <v>12</v>
      </c>
      <c r="B130">
        <v>0</v>
      </c>
      <c r="C130">
        <v>0</v>
      </c>
      <c r="D130">
        <v>40</v>
      </c>
      <c r="E130">
        <v>1</v>
      </c>
      <c r="F130">
        <v>15</v>
      </c>
      <c r="G130">
        <v>58</v>
      </c>
      <c r="H130">
        <v>3</v>
      </c>
      <c r="I130">
        <v>6</v>
      </c>
      <c r="J130">
        <v>2</v>
      </c>
      <c r="K130">
        <v>1</v>
      </c>
    </row>
    <row r="131" spans="1:11">
      <c r="A131">
        <v>12</v>
      </c>
      <c r="B131">
        <v>0</v>
      </c>
      <c r="C131">
        <v>0</v>
      </c>
      <c r="D131">
        <v>8</v>
      </c>
      <c r="E131">
        <v>0</v>
      </c>
      <c r="F131">
        <v>6</v>
      </c>
      <c r="G131">
        <v>26</v>
      </c>
      <c r="H131">
        <v>3</v>
      </c>
      <c r="I131">
        <v>6</v>
      </c>
      <c r="J131">
        <v>2</v>
      </c>
      <c r="K131">
        <v>0</v>
      </c>
    </row>
    <row r="132" spans="1:11">
      <c r="A132">
        <v>11</v>
      </c>
      <c r="B132">
        <v>1</v>
      </c>
      <c r="C132">
        <v>0</v>
      </c>
      <c r="D132">
        <v>29</v>
      </c>
      <c r="E132">
        <v>0</v>
      </c>
      <c r="F132">
        <v>9.5</v>
      </c>
      <c r="G132">
        <v>46</v>
      </c>
      <c r="H132">
        <v>3</v>
      </c>
      <c r="I132">
        <v>6</v>
      </c>
      <c r="J132">
        <v>2</v>
      </c>
      <c r="K132">
        <v>1</v>
      </c>
    </row>
    <row r="133" spans="1:11">
      <c r="A133">
        <v>16</v>
      </c>
      <c r="B133">
        <v>0</v>
      </c>
      <c r="C133">
        <v>0</v>
      </c>
      <c r="D133">
        <v>3</v>
      </c>
      <c r="E133">
        <v>1</v>
      </c>
      <c r="F133">
        <v>5</v>
      </c>
      <c r="G133">
        <v>25</v>
      </c>
      <c r="H133">
        <v>3</v>
      </c>
      <c r="I133">
        <v>6</v>
      </c>
      <c r="J133">
        <v>0</v>
      </c>
      <c r="K133">
        <v>0</v>
      </c>
    </row>
    <row r="134" spans="1:11">
      <c r="A134">
        <v>11</v>
      </c>
      <c r="B134">
        <v>0</v>
      </c>
      <c r="C134">
        <v>0</v>
      </c>
      <c r="D134">
        <v>11</v>
      </c>
      <c r="E134">
        <v>0</v>
      </c>
      <c r="F134">
        <v>3.75</v>
      </c>
      <c r="G134">
        <v>28</v>
      </c>
      <c r="H134">
        <v>3</v>
      </c>
      <c r="I134">
        <v>6</v>
      </c>
      <c r="J134">
        <v>2</v>
      </c>
      <c r="K134">
        <v>0</v>
      </c>
    </row>
    <row r="135" spans="1:11">
      <c r="A135">
        <v>12</v>
      </c>
      <c r="B135">
        <v>0</v>
      </c>
      <c r="C135">
        <v>0</v>
      </c>
      <c r="D135">
        <v>12</v>
      </c>
      <c r="E135">
        <v>1</v>
      </c>
      <c r="F135">
        <v>12.57</v>
      </c>
      <c r="G135">
        <v>30</v>
      </c>
      <c r="H135">
        <v>3</v>
      </c>
      <c r="I135">
        <v>6</v>
      </c>
      <c r="J135">
        <v>0</v>
      </c>
      <c r="K135">
        <v>1</v>
      </c>
    </row>
    <row r="136" spans="1:11">
      <c r="A136">
        <v>8</v>
      </c>
      <c r="B136">
        <v>0</v>
      </c>
      <c r="C136">
        <v>1</v>
      </c>
      <c r="D136">
        <v>22</v>
      </c>
      <c r="E136">
        <v>0</v>
      </c>
      <c r="F136">
        <v>6.88</v>
      </c>
      <c r="G136">
        <v>36</v>
      </c>
      <c r="H136">
        <v>2</v>
      </c>
      <c r="I136">
        <v>6</v>
      </c>
      <c r="J136">
        <v>0</v>
      </c>
      <c r="K136">
        <v>1</v>
      </c>
    </row>
    <row r="137" spans="1:11">
      <c r="A137">
        <v>12</v>
      </c>
      <c r="B137">
        <v>0</v>
      </c>
      <c r="C137">
        <v>0</v>
      </c>
      <c r="D137">
        <v>12</v>
      </c>
      <c r="E137">
        <v>0</v>
      </c>
      <c r="F137">
        <v>5.5</v>
      </c>
      <c r="G137">
        <v>30</v>
      </c>
      <c r="H137">
        <v>3</v>
      </c>
      <c r="I137">
        <v>6</v>
      </c>
      <c r="J137">
        <v>0</v>
      </c>
      <c r="K137">
        <v>1</v>
      </c>
    </row>
    <row r="138" spans="1:11">
      <c r="A138">
        <v>12</v>
      </c>
      <c r="B138">
        <v>0</v>
      </c>
      <c r="C138">
        <v>0</v>
      </c>
      <c r="D138">
        <v>7</v>
      </c>
      <c r="E138">
        <v>1</v>
      </c>
      <c r="F138">
        <v>7</v>
      </c>
      <c r="G138">
        <v>25</v>
      </c>
      <c r="H138">
        <v>3</v>
      </c>
      <c r="I138">
        <v>6</v>
      </c>
      <c r="J138">
        <v>0</v>
      </c>
      <c r="K138">
        <v>1</v>
      </c>
    </row>
    <row r="139" spans="1:11">
      <c r="A139">
        <v>12</v>
      </c>
      <c r="B139">
        <v>0</v>
      </c>
      <c r="C139">
        <v>1</v>
      </c>
      <c r="D139">
        <v>15</v>
      </c>
      <c r="E139">
        <v>0</v>
      </c>
      <c r="F139">
        <v>4.5</v>
      </c>
      <c r="G139">
        <v>33</v>
      </c>
      <c r="H139">
        <v>3</v>
      </c>
      <c r="I139">
        <v>6</v>
      </c>
      <c r="J139">
        <v>1</v>
      </c>
      <c r="K139">
        <v>0</v>
      </c>
    </row>
    <row r="140" spans="1:11">
      <c r="A140">
        <v>12</v>
      </c>
      <c r="B140">
        <v>0</v>
      </c>
      <c r="C140">
        <v>0</v>
      </c>
      <c r="D140">
        <v>28</v>
      </c>
      <c r="E140">
        <v>0</v>
      </c>
      <c r="F140">
        <v>6.5</v>
      </c>
      <c r="G140">
        <v>46</v>
      </c>
      <c r="H140">
        <v>3</v>
      </c>
      <c r="I140">
        <v>6</v>
      </c>
      <c r="J140">
        <v>0</v>
      </c>
      <c r="K140">
        <v>1</v>
      </c>
    </row>
    <row r="141" spans="1:11">
      <c r="A141">
        <v>12</v>
      </c>
      <c r="B141">
        <v>1</v>
      </c>
      <c r="C141">
        <v>0</v>
      </c>
      <c r="D141">
        <v>20</v>
      </c>
      <c r="E141">
        <v>1</v>
      </c>
      <c r="F141">
        <v>12</v>
      </c>
      <c r="G141">
        <v>38</v>
      </c>
      <c r="H141">
        <v>3</v>
      </c>
      <c r="I141">
        <v>6</v>
      </c>
      <c r="J141">
        <v>1</v>
      </c>
      <c r="K141">
        <v>1</v>
      </c>
    </row>
    <row r="142" spans="1:11">
      <c r="A142">
        <v>12</v>
      </c>
      <c r="B142">
        <v>1</v>
      </c>
      <c r="C142">
        <v>0</v>
      </c>
      <c r="D142">
        <v>6</v>
      </c>
      <c r="E142">
        <v>0</v>
      </c>
      <c r="F142">
        <v>5</v>
      </c>
      <c r="G142">
        <v>24</v>
      </c>
      <c r="H142">
        <v>3</v>
      </c>
      <c r="I142">
        <v>6</v>
      </c>
      <c r="J142">
        <v>2</v>
      </c>
      <c r="K142">
        <v>0</v>
      </c>
    </row>
    <row r="143" spans="1:11">
      <c r="A143">
        <v>12</v>
      </c>
      <c r="B143">
        <v>1</v>
      </c>
      <c r="C143">
        <v>0</v>
      </c>
      <c r="D143">
        <v>5</v>
      </c>
      <c r="E143">
        <v>0</v>
      </c>
      <c r="F143">
        <v>6.5</v>
      </c>
      <c r="G143">
        <v>23</v>
      </c>
      <c r="H143">
        <v>3</v>
      </c>
      <c r="I143">
        <v>6</v>
      </c>
      <c r="J143">
        <v>1</v>
      </c>
      <c r="K143">
        <v>0</v>
      </c>
    </row>
    <row r="144" spans="1:11">
      <c r="A144">
        <v>9</v>
      </c>
      <c r="B144">
        <v>1</v>
      </c>
      <c r="C144">
        <v>1</v>
      </c>
      <c r="D144">
        <v>30</v>
      </c>
      <c r="E144">
        <v>0</v>
      </c>
      <c r="F144">
        <v>6.8</v>
      </c>
      <c r="G144">
        <v>45</v>
      </c>
      <c r="H144">
        <v>3</v>
      </c>
      <c r="I144">
        <v>6</v>
      </c>
      <c r="J144">
        <v>1</v>
      </c>
      <c r="K144">
        <v>1</v>
      </c>
    </row>
    <row r="145" spans="1:11">
      <c r="A145">
        <v>13</v>
      </c>
      <c r="B145">
        <v>0</v>
      </c>
      <c r="C145">
        <v>0</v>
      </c>
      <c r="D145">
        <v>18</v>
      </c>
      <c r="E145">
        <v>0</v>
      </c>
      <c r="F145">
        <v>8.75</v>
      </c>
      <c r="G145">
        <v>37</v>
      </c>
      <c r="H145">
        <v>3</v>
      </c>
      <c r="I145">
        <v>6</v>
      </c>
      <c r="J145">
        <v>0</v>
      </c>
      <c r="K145">
        <v>1</v>
      </c>
    </row>
    <row r="146" spans="1:11">
      <c r="A146">
        <v>12</v>
      </c>
      <c r="B146">
        <v>1</v>
      </c>
      <c r="C146">
        <v>1</v>
      </c>
      <c r="D146">
        <v>6</v>
      </c>
      <c r="E146">
        <v>0</v>
      </c>
      <c r="F146">
        <v>3.75</v>
      </c>
      <c r="G146">
        <v>24</v>
      </c>
      <c r="H146">
        <v>1</v>
      </c>
      <c r="I146">
        <v>6</v>
      </c>
      <c r="J146">
        <v>1</v>
      </c>
      <c r="K146">
        <v>1</v>
      </c>
    </row>
    <row r="147" spans="1:11">
      <c r="A147">
        <v>12</v>
      </c>
      <c r="B147">
        <v>1</v>
      </c>
      <c r="C147">
        <v>0</v>
      </c>
      <c r="D147">
        <v>16</v>
      </c>
      <c r="E147">
        <v>0</v>
      </c>
      <c r="F147">
        <v>4.5</v>
      </c>
      <c r="G147">
        <v>34</v>
      </c>
      <c r="H147">
        <v>2</v>
      </c>
      <c r="I147">
        <v>6</v>
      </c>
      <c r="J147">
        <v>0</v>
      </c>
      <c r="K147">
        <v>0</v>
      </c>
    </row>
    <row r="148" spans="1:11">
      <c r="A148">
        <v>12</v>
      </c>
      <c r="B148">
        <v>1</v>
      </c>
      <c r="C148">
        <v>0</v>
      </c>
      <c r="D148">
        <v>1</v>
      </c>
      <c r="E148">
        <v>1</v>
      </c>
      <c r="F148">
        <v>6</v>
      </c>
      <c r="G148">
        <v>19</v>
      </c>
      <c r="H148">
        <v>2</v>
      </c>
      <c r="I148">
        <v>6</v>
      </c>
      <c r="J148">
        <v>0</v>
      </c>
      <c r="K148">
        <v>0</v>
      </c>
    </row>
    <row r="149" spans="1:11">
      <c r="A149">
        <v>12</v>
      </c>
      <c r="B149">
        <v>0</v>
      </c>
      <c r="C149">
        <v>0</v>
      </c>
      <c r="D149">
        <v>3</v>
      </c>
      <c r="E149">
        <v>0</v>
      </c>
      <c r="F149">
        <v>5.5</v>
      </c>
      <c r="G149">
        <v>21</v>
      </c>
      <c r="H149">
        <v>3</v>
      </c>
      <c r="I149">
        <v>6</v>
      </c>
      <c r="J149">
        <v>1</v>
      </c>
      <c r="K149">
        <v>0</v>
      </c>
    </row>
    <row r="150" spans="1:11">
      <c r="A150">
        <v>12</v>
      </c>
      <c r="B150">
        <v>0</v>
      </c>
      <c r="C150">
        <v>0</v>
      </c>
      <c r="D150">
        <v>8</v>
      </c>
      <c r="E150">
        <v>0</v>
      </c>
      <c r="F150">
        <v>13</v>
      </c>
      <c r="G150">
        <v>26</v>
      </c>
      <c r="H150">
        <v>3</v>
      </c>
      <c r="I150">
        <v>6</v>
      </c>
      <c r="J150">
        <v>0</v>
      </c>
      <c r="K150">
        <v>1</v>
      </c>
    </row>
    <row r="151" spans="1:11">
      <c r="A151">
        <v>14</v>
      </c>
      <c r="B151">
        <v>0</v>
      </c>
      <c r="C151">
        <v>0</v>
      </c>
      <c r="D151">
        <v>2</v>
      </c>
      <c r="E151">
        <v>0</v>
      </c>
      <c r="F151">
        <v>5.65</v>
      </c>
      <c r="G151">
        <v>22</v>
      </c>
      <c r="H151">
        <v>3</v>
      </c>
      <c r="I151">
        <v>6</v>
      </c>
      <c r="J151">
        <v>1</v>
      </c>
      <c r="K151">
        <v>0</v>
      </c>
    </row>
    <row r="152" spans="1:11">
      <c r="A152">
        <v>9</v>
      </c>
      <c r="B152">
        <v>0</v>
      </c>
      <c r="C152">
        <v>0</v>
      </c>
      <c r="D152">
        <v>16</v>
      </c>
      <c r="E152">
        <v>0</v>
      </c>
      <c r="F152">
        <v>4.8</v>
      </c>
      <c r="G152">
        <v>31</v>
      </c>
      <c r="H152">
        <v>1</v>
      </c>
      <c r="I152">
        <v>6</v>
      </c>
      <c r="J152">
        <v>1</v>
      </c>
      <c r="K152">
        <v>0</v>
      </c>
    </row>
    <row r="153" spans="1:11">
      <c r="A153">
        <v>10</v>
      </c>
      <c r="B153">
        <v>1</v>
      </c>
      <c r="C153">
        <v>0</v>
      </c>
      <c r="D153">
        <v>9</v>
      </c>
      <c r="E153">
        <v>0</v>
      </c>
      <c r="F153">
        <v>7</v>
      </c>
      <c r="G153">
        <v>25</v>
      </c>
      <c r="H153">
        <v>3</v>
      </c>
      <c r="I153">
        <v>6</v>
      </c>
      <c r="J153">
        <v>2</v>
      </c>
      <c r="K153">
        <v>1</v>
      </c>
    </row>
    <row r="154" spans="1:11">
      <c r="A154">
        <v>12</v>
      </c>
      <c r="B154">
        <v>0</v>
      </c>
      <c r="C154">
        <v>0</v>
      </c>
      <c r="D154">
        <v>2</v>
      </c>
      <c r="E154">
        <v>0</v>
      </c>
      <c r="F154">
        <v>5.25</v>
      </c>
      <c r="G154">
        <v>20</v>
      </c>
      <c r="H154">
        <v>3</v>
      </c>
      <c r="I154">
        <v>6</v>
      </c>
      <c r="J154">
        <v>0</v>
      </c>
      <c r="K154">
        <v>0</v>
      </c>
    </row>
    <row r="155" spans="1:11">
      <c r="A155">
        <v>7</v>
      </c>
      <c r="B155">
        <v>1</v>
      </c>
      <c r="C155">
        <v>0</v>
      </c>
      <c r="D155">
        <v>43</v>
      </c>
      <c r="E155">
        <v>0</v>
      </c>
      <c r="F155">
        <v>3.35</v>
      </c>
      <c r="G155">
        <v>56</v>
      </c>
      <c r="H155">
        <v>3</v>
      </c>
      <c r="I155">
        <v>6</v>
      </c>
      <c r="J155">
        <v>1</v>
      </c>
      <c r="K155">
        <v>1</v>
      </c>
    </row>
    <row r="156" spans="1:11">
      <c r="A156">
        <v>9</v>
      </c>
      <c r="B156">
        <v>0</v>
      </c>
      <c r="C156">
        <v>0</v>
      </c>
      <c r="D156">
        <v>38</v>
      </c>
      <c r="E156">
        <v>0</v>
      </c>
      <c r="F156">
        <v>8.5</v>
      </c>
      <c r="G156">
        <v>53</v>
      </c>
      <c r="H156">
        <v>3</v>
      </c>
      <c r="I156">
        <v>6</v>
      </c>
      <c r="J156">
        <v>1</v>
      </c>
      <c r="K156">
        <v>1</v>
      </c>
    </row>
    <row r="157" spans="1:11">
      <c r="A157">
        <v>12</v>
      </c>
      <c r="B157">
        <v>0</v>
      </c>
      <c r="C157">
        <v>0</v>
      </c>
      <c r="D157">
        <v>9</v>
      </c>
      <c r="E157">
        <v>0</v>
      </c>
      <c r="F157">
        <v>6</v>
      </c>
      <c r="G157">
        <v>27</v>
      </c>
      <c r="H157">
        <v>3</v>
      </c>
      <c r="I157">
        <v>6</v>
      </c>
      <c r="J157">
        <v>0</v>
      </c>
      <c r="K157">
        <v>1</v>
      </c>
    </row>
    <row r="158" spans="1:11">
      <c r="A158">
        <v>12</v>
      </c>
      <c r="B158">
        <v>1</v>
      </c>
      <c r="C158">
        <v>0</v>
      </c>
      <c r="D158">
        <v>12</v>
      </c>
      <c r="E158">
        <v>0</v>
      </c>
      <c r="F158">
        <v>6.75</v>
      </c>
      <c r="G158">
        <v>30</v>
      </c>
      <c r="H158">
        <v>3</v>
      </c>
      <c r="I158">
        <v>6</v>
      </c>
      <c r="J158">
        <v>0</v>
      </c>
      <c r="K158">
        <v>1</v>
      </c>
    </row>
    <row r="159" spans="1:11">
      <c r="A159">
        <v>12</v>
      </c>
      <c r="B159">
        <v>0</v>
      </c>
      <c r="C159">
        <v>0</v>
      </c>
      <c r="D159">
        <v>18</v>
      </c>
      <c r="E159">
        <v>0</v>
      </c>
      <c r="F159">
        <v>8.89</v>
      </c>
      <c r="G159">
        <v>36</v>
      </c>
      <c r="H159">
        <v>3</v>
      </c>
      <c r="I159">
        <v>6</v>
      </c>
      <c r="J159">
        <v>1</v>
      </c>
      <c r="K159">
        <v>1</v>
      </c>
    </row>
    <row r="160" spans="1:11">
      <c r="A160">
        <v>11</v>
      </c>
      <c r="B160">
        <v>0</v>
      </c>
      <c r="C160">
        <v>0</v>
      </c>
      <c r="D160">
        <v>15</v>
      </c>
      <c r="E160">
        <v>1</v>
      </c>
      <c r="F160">
        <v>14.21</v>
      </c>
      <c r="G160">
        <v>32</v>
      </c>
      <c r="H160">
        <v>3</v>
      </c>
      <c r="I160">
        <v>6</v>
      </c>
      <c r="J160">
        <v>1</v>
      </c>
      <c r="K160">
        <v>0</v>
      </c>
    </row>
    <row r="161" spans="1:11">
      <c r="A161">
        <v>11</v>
      </c>
      <c r="B161">
        <v>1</v>
      </c>
      <c r="C161">
        <v>0</v>
      </c>
      <c r="D161">
        <v>28</v>
      </c>
      <c r="E161">
        <v>1</v>
      </c>
      <c r="F161">
        <v>10.78</v>
      </c>
      <c r="G161">
        <v>45</v>
      </c>
      <c r="H161">
        <v>1</v>
      </c>
      <c r="I161">
        <v>6</v>
      </c>
      <c r="J161">
        <v>2</v>
      </c>
      <c r="K161">
        <v>1</v>
      </c>
    </row>
    <row r="162" spans="1:11">
      <c r="A162">
        <v>10</v>
      </c>
      <c r="B162">
        <v>1</v>
      </c>
      <c r="C162">
        <v>0</v>
      </c>
      <c r="D162">
        <v>27</v>
      </c>
      <c r="E162">
        <v>1</v>
      </c>
      <c r="F162">
        <v>8.9</v>
      </c>
      <c r="G162">
        <v>43</v>
      </c>
      <c r="H162">
        <v>3</v>
      </c>
      <c r="I162">
        <v>6</v>
      </c>
      <c r="J162">
        <v>2</v>
      </c>
      <c r="K162">
        <v>1</v>
      </c>
    </row>
    <row r="163" spans="1:11">
      <c r="A163">
        <v>12</v>
      </c>
      <c r="B163">
        <v>1</v>
      </c>
      <c r="C163">
        <v>0</v>
      </c>
      <c r="D163">
        <v>38</v>
      </c>
      <c r="E163">
        <v>0</v>
      </c>
      <c r="F163">
        <v>7.5</v>
      </c>
      <c r="G163">
        <v>56</v>
      </c>
      <c r="H163">
        <v>3</v>
      </c>
      <c r="I163">
        <v>6</v>
      </c>
      <c r="J163">
        <v>0</v>
      </c>
      <c r="K163">
        <v>1</v>
      </c>
    </row>
    <row r="164" spans="1:11">
      <c r="A164">
        <v>12</v>
      </c>
      <c r="B164">
        <v>0</v>
      </c>
      <c r="C164">
        <v>1</v>
      </c>
      <c r="D164">
        <v>3</v>
      </c>
      <c r="E164">
        <v>0</v>
      </c>
      <c r="F164">
        <v>4.5</v>
      </c>
      <c r="G164">
        <v>21</v>
      </c>
      <c r="H164">
        <v>3</v>
      </c>
      <c r="I164">
        <v>6</v>
      </c>
      <c r="J164">
        <v>1</v>
      </c>
      <c r="K164">
        <v>0</v>
      </c>
    </row>
    <row r="165" spans="1:11">
      <c r="A165">
        <v>12</v>
      </c>
      <c r="B165">
        <v>0</v>
      </c>
      <c r="C165">
        <v>0</v>
      </c>
      <c r="D165">
        <v>41</v>
      </c>
      <c r="E165">
        <v>1</v>
      </c>
      <c r="F165">
        <v>11.25</v>
      </c>
      <c r="G165">
        <v>59</v>
      </c>
      <c r="H165">
        <v>3</v>
      </c>
      <c r="I165">
        <v>6</v>
      </c>
      <c r="J165">
        <v>0</v>
      </c>
      <c r="K165">
        <v>1</v>
      </c>
    </row>
    <row r="166" spans="1:11">
      <c r="A166">
        <v>12</v>
      </c>
      <c r="B166">
        <v>1</v>
      </c>
      <c r="C166">
        <v>0</v>
      </c>
      <c r="D166">
        <v>16</v>
      </c>
      <c r="E166">
        <v>1</v>
      </c>
      <c r="F166">
        <v>13.45</v>
      </c>
      <c r="G166">
        <v>34</v>
      </c>
      <c r="H166">
        <v>3</v>
      </c>
      <c r="I166">
        <v>6</v>
      </c>
      <c r="J166">
        <v>0</v>
      </c>
      <c r="K166">
        <v>1</v>
      </c>
    </row>
    <row r="167" spans="1:11">
      <c r="A167">
        <v>13</v>
      </c>
      <c r="B167">
        <v>1</v>
      </c>
      <c r="C167">
        <v>0</v>
      </c>
      <c r="D167">
        <v>7</v>
      </c>
      <c r="E167">
        <v>0</v>
      </c>
      <c r="F167">
        <v>6</v>
      </c>
      <c r="G167">
        <v>26</v>
      </c>
      <c r="H167">
        <v>3</v>
      </c>
      <c r="I167">
        <v>6</v>
      </c>
      <c r="J167">
        <v>1</v>
      </c>
      <c r="K167">
        <v>1</v>
      </c>
    </row>
    <row r="168" spans="1:11">
      <c r="A168">
        <v>6</v>
      </c>
      <c r="B168">
        <v>1</v>
      </c>
      <c r="C168">
        <v>1</v>
      </c>
      <c r="D168">
        <v>33</v>
      </c>
      <c r="E168">
        <v>0</v>
      </c>
      <c r="F168">
        <v>4.62</v>
      </c>
      <c r="G168">
        <v>45</v>
      </c>
      <c r="H168">
        <v>1</v>
      </c>
      <c r="I168">
        <v>6</v>
      </c>
      <c r="J168">
        <v>1</v>
      </c>
      <c r="K168">
        <v>0</v>
      </c>
    </row>
    <row r="169" spans="1:11">
      <c r="A169">
        <v>14</v>
      </c>
      <c r="B169">
        <v>0</v>
      </c>
      <c r="C169">
        <v>0</v>
      </c>
      <c r="D169">
        <v>25</v>
      </c>
      <c r="E169">
        <v>0</v>
      </c>
      <c r="F169">
        <v>10.58</v>
      </c>
      <c r="G169">
        <v>45</v>
      </c>
      <c r="H169">
        <v>3</v>
      </c>
      <c r="I169">
        <v>6</v>
      </c>
      <c r="J169">
        <v>1</v>
      </c>
      <c r="K169">
        <v>1</v>
      </c>
    </row>
    <row r="170" spans="1:11">
      <c r="A170">
        <v>12</v>
      </c>
      <c r="B170">
        <v>1</v>
      </c>
      <c r="C170">
        <v>0</v>
      </c>
      <c r="D170">
        <v>5</v>
      </c>
      <c r="E170">
        <v>0</v>
      </c>
      <c r="F170">
        <v>5</v>
      </c>
      <c r="G170">
        <v>23</v>
      </c>
      <c r="H170">
        <v>3</v>
      </c>
      <c r="I170">
        <v>6</v>
      </c>
      <c r="J170">
        <v>0</v>
      </c>
      <c r="K170">
        <v>1</v>
      </c>
    </row>
    <row r="171" spans="1:11">
      <c r="A171">
        <v>14</v>
      </c>
      <c r="B171">
        <v>1</v>
      </c>
      <c r="C171">
        <v>0</v>
      </c>
      <c r="D171">
        <v>17</v>
      </c>
      <c r="E171">
        <v>0</v>
      </c>
      <c r="F171">
        <v>8.1999999999999993</v>
      </c>
      <c r="G171">
        <v>37</v>
      </c>
      <c r="H171">
        <v>1</v>
      </c>
      <c r="I171">
        <v>6</v>
      </c>
      <c r="J171">
        <v>0</v>
      </c>
      <c r="K171">
        <v>0</v>
      </c>
    </row>
    <row r="172" spans="1:11">
      <c r="A172">
        <v>12</v>
      </c>
      <c r="B172">
        <v>1</v>
      </c>
      <c r="C172">
        <v>0</v>
      </c>
      <c r="D172">
        <v>1</v>
      </c>
      <c r="E172">
        <v>0</v>
      </c>
      <c r="F172">
        <v>6.25</v>
      </c>
      <c r="G172">
        <v>19</v>
      </c>
      <c r="H172">
        <v>3</v>
      </c>
      <c r="I172">
        <v>6</v>
      </c>
      <c r="J172">
        <v>0</v>
      </c>
      <c r="K172">
        <v>0</v>
      </c>
    </row>
    <row r="173" spans="1:11">
      <c r="A173">
        <v>12</v>
      </c>
      <c r="B173">
        <v>0</v>
      </c>
      <c r="C173">
        <v>0</v>
      </c>
      <c r="D173">
        <v>13</v>
      </c>
      <c r="E173">
        <v>0</v>
      </c>
      <c r="F173">
        <v>8.5</v>
      </c>
      <c r="G173">
        <v>31</v>
      </c>
      <c r="H173">
        <v>3</v>
      </c>
      <c r="I173">
        <v>6</v>
      </c>
      <c r="J173">
        <v>1</v>
      </c>
      <c r="K173">
        <v>1</v>
      </c>
    </row>
    <row r="174" spans="1:11">
      <c r="A174">
        <v>16</v>
      </c>
      <c r="B174">
        <v>0</v>
      </c>
      <c r="C174">
        <v>0</v>
      </c>
      <c r="D174">
        <v>18</v>
      </c>
      <c r="E174">
        <v>0</v>
      </c>
      <c r="F174">
        <v>24.98</v>
      </c>
      <c r="G174">
        <v>40</v>
      </c>
      <c r="H174">
        <v>3</v>
      </c>
      <c r="I174">
        <v>1</v>
      </c>
      <c r="J174">
        <v>0</v>
      </c>
      <c r="K174">
        <v>1</v>
      </c>
    </row>
    <row r="175" spans="1:11">
      <c r="A175">
        <v>14</v>
      </c>
      <c r="B175">
        <v>1</v>
      </c>
      <c r="C175">
        <v>0</v>
      </c>
      <c r="D175">
        <v>21</v>
      </c>
      <c r="E175">
        <v>0</v>
      </c>
      <c r="F175">
        <v>16.649999999999999</v>
      </c>
      <c r="G175">
        <v>41</v>
      </c>
      <c r="H175">
        <v>3</v>
      </c>
      <c r="I175">
        <v>1</v>
      </c>
      <c r="J175">
        <v>0</v>
      </c>
      <c r="K175">
        <v>1</v>
      </c>
    </row>
    <row r="176" spans="1:11">
      <c r="A176">
        <v>14</v>
      </c>
      <c r="B176">
        <v>0</v>
      </c>
      <c r="C176">
        <v>0</v>
      </c>
      <c r="D176">
        <v>2</v>
      </c>
      <c r="E176">
        <v>0</v>
      </c>
      <c r="F176">
        <v>6.25</v>
      </c>
      <c r="G176">
        <v>22</v>
      </c>
      <c r="H176">
        <v>3</v>
      </c>
      <c r="I176">
        <v>1</v>
      </c>
      <c r="J176">
        <v>0</v>
      </c>
      <c r="K176">
        <v>0</v>
      </c>
    </row>
    <row r="177" spans="1:11">
      <c r="A177">
        <v>12</v>
      </c>
      <c r="B177">
        <v>1</v>
      </c>
      <c r="C177">
        <v>1</v>
      </c>
      <c r="D177">
        <v>4</v>
      </c>
      <c r="E177">
        <v>0</v>
      </c>
      <c r="F177">
        <v>4.55</v>
      </c>
      <c r="G177">
        <v>22</v>
      </c>
      <c r="H177">
        <v>2</v>
      </c>
      <c r="I177">
        <v>1</v>
      </c>
      <c r="J177">
        <v>0</v>
      </c>
      <c r="K177">
        <v>0</v>
      </c>
    </row>
    <row r="178" spans="1:11">
      <c r="A178">
        <v>12</v>
      </c>
      <c r="B178">
        <v>1</v>
      </c>
      <c r="C178">
        <v>1</v>
      </c>
      <c r="D178">
        <v>30</v>
      </c>
      <c r="E178">
        <v>0</v>
      </c>
      <c r="F178">
        <v>11.25</v>
      </c>
      <c r="G178">
        <v>48</v>
      </c>
      <c r="H178">
        <v>2</v>
      </c>
      <c r="I178">
        <v>1</v>
      </c>
      <c r="J178">
        <v>0</v>
      </c>
      <c r="K178">
        <v>1</v>
      </c>
    </row>
    <row r="179" spans="1:11">
      <c r="A179">
        <v>13</v>
      </c>
      <c r="B179">
        <v>0</v>
      </c>
      <c r="C179">
        <v>0</v>
      </c>
      <c r="D179">
        <v>32</v>
      </c>
      <c r="E179">
        <v>0</v>
      </c>
      <c r="F179">
        <v>21.25</v>
      </c>
      <c r="G179">
        <v>51</v>
      </c>
      <c r="H179">
        <v>3</v>
      </c>
      <c r="I179">
        <v>1</v>
      </c>
      <c r="J179">
        <v>0</v>
      </c>
      <c r="K179">
        <v>0</v>
      </c>
    </row>
    <row r="180" spans="1:11">
      <c r="A180">
        <v>17</v>
      </c>
      <c r="B180">
        <v>0</v>
      </c>
      <c r="C180">
        <v>1</v>
      </c>
      <c r="D180">
        <v>13</v>
      </c>
      <c r="E180">
        <v>0</v>
      </c>
      <c r="F180">
        <v>12.65</v>
      </c>
      <c r="G180">
        <v>36</v>
      </c>
      <c r="H180">
        <v>3</v>
      </c>
      <c r="I180">
        <v>1</v>
      </c>
      <c r="J180">
        <v>0</v>
      </c>
      <c r="K180">
        <v>1</v>
      </c>
    </row>
    <row r="181" spans="1:11">
      <c r="A181">
        <v>12</v>
      </c>
      <c r="B181">
        <v>0</v>
      </c>
      <c r="C181">
        <v>0</v>
      </c>
      <c r="D181">
        <v>17</v>
      </c>
      <c r="E181">
        <v>0</v>
      </c>
      <c r="F181">
        <v>7.5</v>
      </c>
      <c r="G181">
        <v>35</v>
      </c>
      <c r="H181">
        <v>3</v>
      </c>
      <c r="I181">
        <v>1</v>
      </c>
      <c r="J181">
        <v>0</v>
      </c>
      <c r="K181">
        <v>0</v>
      </c>
    </row>
    <row r="182" spans="1:11">
      <c r="A182">
        <v>14</v>
      </c>
      <c r="B182">
        <v>0</v>
      </c>
      <c r="C182">
        <v>1</v>
      </c>
      <c r="D182">
        <v>26</v>
      </c>
      <c r="E182">
        <v>0</v>
      </c>
      <c r="F182">
        <v>10.25</v>
      </c>
      <c r="G182">
        <v>46</v>
      </c>
      <c r="H182">
        <v>3</v>
      </c>
      <c r="I182">
        <v>1</v>
      </c>
      <c r="J182">
        <v>0</v>
      </c>
      <c r="K182">
        <v>1</v>
      </c>
    </row>
    <row r="183" spans="1:11">
      <c r="A183">
        <v>16</v>
      </c>
      <c r="B183">
        <v>0</v>
      </c>
      <c r="C183">
        <v>0</v>
      </c>
      <c r="D183">
        <v>9</v>
      </c>
      <c r="E183">
        <v>0</v>
      </c>
      <c r="F183">
        <v>3.35</v>
      </c>
      <c r="G183">
        <v>31</v>
      </c>
      <c r="H183">
        <v>3</v>
      </c>
      <c r="I183">
        <v>1</v>
      </c>
      <c r="J183">
        <v>0</v>
      </c>
      <c r="K183">
        <v>0</v>
      </c>
    </row>
    <row r="184" spans="1:11">
      <c r="A184">
        <v>16</v>
      </c>
      <c r="B184">
        <v>0</v>
      </c>
      <c r="C184">
        <v>0</v>
      </c>
      <c r="D184">
        <v>8</v>
      </c>
      <c r="E184">
        <v>0</v>
      </c>
      <c r="F184">
        <v>13.45</v>
      </c>
      <c r="G184">
        <v>30</v>
      </c>
      <c r="H184">
        <v>1</v>
      </c>
      <c r="I184">
        <v>1</v>
      </c>
      <c r="J184">
        <v>0</v>
      </c>
      <c r="K184">
        <v>0</v>
      </c>
    </row>
    <row r="185" spans="1:11">
      <c r="A185">
        <v>15</v>
      </c>
      <c r="B185">
        <v>0</v>
      </c>
      <c r="C185">
        <v>0</v>
      </c>
      <c r="D185">
        <v>1</v>
      </c>
      <c r="E185">
        <v>1</v>
      </c>
      <c r="F185">
        <v>4.84</v>
      </c>
      <c r="G185">
        <v>22</v>
      </c>
      <c r="H185">
        <v>3</v>
      </c>
      <c r="I185">
        <v>1</v>
      </c>
      <c r="J185">
        <v>0</v>
      </c>
      <c r="K185">
        <v>1</v>
      </c>
    </row>
    <row r="186" spans="1:11">
      <c r="A186">
        <v>17</v>
      </c>
      <c r="B186">
        <v>1</v>
      </c>
      <c r="C186">
        <v>0</v>
      </c>
      <c r="D186">
        <v>32</v>
      </c>
      <c r="E186">
        <v>0</v>
      </c>
      <c r="F186">
        <v>26.29</v>
      </c>
      <c r="G186">
        <v>55</v>
      </c>
      <c r="H186">
        <v>3</v>
      </c>
      <c r="I186">
        <v>1</v>
      </c>
      <c r="J186">
        <v>0</v>
      </c>
      <c r="K186">
        <v>1</v>
      </c>
    </row>
    <row r="187" spans="1:11">
      <c r="A187">
        <v>12</v>
      </c>
      <c r="B187">
        <v>0</v>
      </c>
      <c r="C187">
        <v>1</v>
      </c>
      <c r="D187">
        <v>24</v>
      </c>
      <c r="E187">
        <v>0</v>
      </c>
      <c r="F187">
        <v>6.58</v>
      </c>
      <c r="G187">
        <v>42</v>
      </c>
      <c r="H187">
        <v>3</v>
      </c>
      <c r="I187">
        <v>1</v>
      </c>
      <c r="J187">
        <v>0</v>
      </c>
      <c r="K187">
        <v>1</v>
      </c>
    </row>
    <row r="188" spans="1:11">
      <c r="A188">
        <v>14</v>
      </c>
      <c r="B188">
        <v>0</v>
      </c>
      <c r="C188">
        <v>1</v>
      </c>
      <c r="D188">
        <v>1</v>
      </c>
      <c r="E188">
        <v>0</v>
      </c>
      <c r="F188">
        <v>44.5</v>
      </c>
      <c r="G188">
        <v>21</v>
      </c>
      <c r="H188">
        <v>3</v>
      </c>
      <c r="I188">
        <v>1</v>
      </c>
      <c r="J188">
        <v>0</v>
      </c>
      <c r="K188">
        <v>0</v>
      </c>
    </row>
    <row r="189" spans="1:11">
      <c r="A189">
        <v>12</v>
      </c>
      <c r="B189">
        <v>0</v>
      </c>
      <c r="C189">
        <v>0</v>
      </c>
      <c r="D189">
        <v>42</v>
      </c>
      <c r="E189">
        <v>0</v>
      </c>
      <c r="F189">
        <v>15</v>
      </c>
      <c r="G189">
        <v>60</v>
      </c>
      <c r="H189">
        <v>3</v>
      </c>
      <c r="I189">
        <v>1</v>
      </c>
      <c r="J189">
        <v>1</v>
      </c>
      <c r="K189">
        <v>1</v>
      </c>
    </row>
    <row r="190" spans="1:11">
      <c r="A190">
        <v>16</v>
      </c>
      <c r="B190">
        <v>0</v>
      </c>
      <c r="C190">
        <v>1</v>
      </c>
      <c r="D190">
        <v>3</v>
      </c>
      <c r="E190">
        <v>0</v>
      </c>
      <c r="F190">
        <v>11.25</v>
      </c>
      <c r="G190">
        <v>25</v>
      </c>
      <c r="H190">
        <v>1</v>
      </c>
      <c r="I190">
        <v>1</v>
      </c>
      <c r="J190">
        <v>1</v>
      </c>
      <c r="K190">
        <v>0</v>
      </c>
    </row>
    <row r="191" spans="1:11">
      <c r="A191">
        <v>12</v>
      </c>
      <c r="B191">
        <v>0</v>
      </c>
      <c r="C191">
        <v>1</v>
      </c>
      <c r="D191">
        <v>32</v>
      </c>
      <c r="E191">
        <v>0</v>
      </c>
      <c r="F191">
        <v>7</v>
      </c>
      <c r="G191">
        <v>50</v>
      </c>
      <c r="H191">
        <v>3</v>
      </c>
      <c r="I191">
        <v>1</v>
      </c>
      <c r="J191">
        <v>0</v>
      </c>
      <c r="K191">
        <v>1</v>
      </c>
    </row>
    <row r="192" spans="1:11">
      <c r="A192">
        <v>14</v>
      </c>
      <c r="B192">
        <v>0</v>
      </c>
      <c r="C192">
        <v>0</v>
      </c>
      <c r="D192">
        <v>22</v>
      </c>
      <c r="E192">
        <v>0</v>
      </c>
      <c r="F192">
        <v>10</v>
      </c>
      <c r="G192">
        <v>42</v>
      </c>
      <c r="H192">
        <v>1</v>
      </c>
      <c r="I192">
        <v>1</v>
      </c>
      <c r="J192">
        <v>0</v>
      </c>
      <c r="K192">
        <v>0</v>
      </c>
    </row>
    <row r="193" spans="1:11">
      <c r="A193">
        <v>16</v>
      </c>
      <c r="B193">
        <v>0</v>
      </c>
      <c r="C193">
        <v>0</v>
      </c>
      <c r="D193">
        <v>18</v>
      </c>
      <c r="E193">
        <v>0</v>
      </c>
      <c r="F193">
        <v>14.53</v>
      </c>
      <c r="G193">
        <v>40</v>
      </c>
      <c r="H193">
        <v>3</v>
      </c>
      <c r="I193">
        <v>1</v>
      </c>
      <c r="J193">
        <v>0</v>
      </c>
      <c r="K193">
        <v>1</v>
      </c>
    </row>
    <row r="194" spans="1:11">
      <c r="A194">
        <v>18</v>
      </c>
      <c r="B194">
        <v>0</v>
      </c>
      <c r="C194">
        <v>1</v>
      </c>
      <c r="D194">
        <v>19</v>
      </c>
      <c r="E194">
        <v>0</v>
      </c>
      <c r="F194">
        <v>20</v>
      </c>
      <c r="G194">
        <v>43</v>
      </c>
      <c r="H194">
        <v>3</v>
      </c>
      <c r="I194">
        <v>1</v>
      </c>
      <c r="J194">
        <v>0</v>
      </c>
      <c r="K194">
        <v>1</v>
      </c>
    </row>
    <row r="195" spans="1:11">
      <c r="A195">
        <v>15</v>
      </c>
      <c r="B195">
        <v>0</v>
      </c>
      <c r="C195">
        <v>0</v>
      </c>
      <c r="D195">
        <v>12</v>
      </c>
      <c r="E195">
        <v>0</v>
      </c>
      <c r="F195">
        <v>22.5</v>
      </c>
      <c r="G195">
        <v>33</v>
      </c>
      <c r="H195">
        <v>3</v>
      </c>
      <c r="I195">
        <v>1</v>
      </c>
      <c r="J195">
        <v>0</v>
      </c>
      <c r="K195">
        <v>1</v>
      </c>
    </row>
    <row r="196" spans="1:11">
      <c r="A196">
        <v>12</v>
      </c>
      <c r="B196">
        <v>0</v>
      </c>
      <c r="C196">
        <v>1</v>
      </c>
      <c r="D196">
        <v>42</v>
      </c>
      <c r="E196">
        <v>0</v>
      </c>
      <c r="F196">
        <v>3.64</v>
      </c>
      <c r="G196">
        <v>60</v>
      </c>
      <c r="H196">
        <v>3</v>
      </c>
      <c r="I196">
        <v>1</v>
      </c>
      <c r="J196">
        <v>0</v>
      </c>
      <c r="K196">
        <v>1</v>
      </c>
    </row>
    <row r="197" spans="1:11">
      <c r="A197">
        <v>12</v>
      </c>
      <c r="B197">
        <v>1</v>
      </c>
      <c r="C197">
        <v>0</v>
      </c>
      <c r="D197">
        <v>34</v>
      </c>
      <c r="E197">
        <v>0</v>
      </c>
      <c r="F197">
        <v>10.62</v>
      </c>
      <c r="G197">
        <v>52</v>
      </c>
      <c r="H197">
        <v>3</v>
      </c>
      <c r="I197">
        <v>1</v>
      </c>
      <c r="J197">
        <v>0</v>
      </c>
      <c r="K197">
        <v>1</v>
      </c>
    </row>
    <row r="198" spans="1:11">
      <c r="A198">
        <v>18</v>
      </c>
      <c r="B198">
        <v>0</v>
      </c>
      <c r="C198">
        <v>0</v>
      </c>
      <c r="D198">
        <v>29</v>
      </c>
      <c r="E198">
        <v>0</v>
      </c>
      <c r="F198">
        <v>24.98</v>
      </c>
      <c r="G198">
        <v>53</v>
      </c>
      <c r="H198">
        <v>3</v>
      </c>
      <c r="I198">
        <v>1</v>
      </c>
      <c r="J198">
        <v>0</v>
      </c>
      <c r="K198">
        <v>1</v>
      </c>
    </row>
    <row r="199" spans="1:11">
      <c r="A199">
        <v>16</v>
      </c>
      <c r="B199">
        <v>1</v>
      </c>
      <c r="C199">
        <v>0</v>
      </c>
      <c r="D199">
        <v>8</v>
      </c>
      <c r="E199">
        <v>0</v>
      </c>
      <c r="F199">
        <v>6</v>
      </c>
      <c r="G199">
        <v>30</v>
      </c>
      <c r="H199">
        <v>3</v>
      </c>
      <c r="I199">
        <v>1</v>
      </c>
      <c r="J199">
        <v>0</v>
      </c>
      <c r="K199">
        <v>0</v>
      </c>
    </row>
    <row r="200" spans="1:11">
      <c r="A200">
        <v>18</v>
      </c>
      <c r="B200">
        <v>0</v>
      </c>
      <c r="C200">
        <v>0</v>
      </c>
      <c r="D200">
        <v>13</v>
      </c>
      <c r="E200">
        <v>0</v>
      </c>
      <c r="F200">
        <v>19</v>
      </c>
      <c r="G200">
        <v>37</v>
      </c>
      <c r="H200">
        <v>3</v>
      </c>
      <c r="I200">
        <v>1</v>
      </c>
      <c r="J200">
        <v>1</v>
      </c>
      <c r="K200">
        <v>0</v>
      </c>
    </row>
    <row r="201" spans="1:11">
      <c r="A201">
        <v>16</v>
      </c>
      <c r="B201">
        <v>0</v>
      </c>
      <c r="C201">
        <v>0</v>
      </c>
      <c r="D201">
        <v>10</v>
      </c>
      <c r="E201">
        <v>0</v>
      </c>
      <c r="F201">
        <v>13.2</v>
      </c>
      <c r="G201">
        <v>32</v>
      </c>
      <c r="H201">
        <v>3</v>
      </c>
      <c r="I201">
        <v>1</v>
      </c>
      <c r="J201">
        <v>0</v>
      </c>
      <c r="K201">
        <v>0</v>
      </c>
    </row>
    <row r="202" spans="1:11">
      <c r="A202">
        <v>16</v>
      </c>
      <c r="B202">
        <v>0</v>
      </c>
      <c r="C202">
        <v>0</v>
      </c>
      <c r="D202">
        <v>22</v>
      </c>
      <c r="E202">
        <v>0</v>
      </c>
      <c r="F202">
        <v>22.5</v>
      </c>
      <c r="G202">
        <v>44</v>
      </c>
      <c r="H202">
        <v>3</v>
      </c>
      <c r="I202">
        <v>1</v>
      </c>
      <c r="J202">
        <v>0</v>
      </c>
      <c r="K202">
        <v>1</v>
      </c>
    </row>
    <row r="203" spans="1:11">
      <c r="A203">
        <v>16</v>
      </c>
      <c r="B203">
        <v>1</v>
      </c>
      <c r="C203">
        <v>0</v>
      </c>
      <c r="D203">
        <v>10</v>
      </c>
      <c r="E203">
        <v>0</v>
      </c>
      <c r="F203">
        <v>15</v>
      </c>
      <c r="G203">
        <v>32</v>
      </c>
      <c r="H203">
        <v>3</v>
      </c>
      <c r="I203">
        <v>1</v>
      </c>
      <c r="J203">
        <v>0</v>
      </c>
      <c r="K203">
        <v>1</v>
      </c>
    </row>
    <row r="204" spans="1:11">
      <c r="A204">
        <v>17</v>
      </c>
      <c r="B204">
        <v>0</v>
      </c>
      <c r="C204">
        <v>1</v>
      </c>
      <c r="D204">
        <v>15</v>
      </c>
      <c r="E204">
        <v>0</v>
      </c>
      <c r="F204">
        <v>6.88</v>
      </c>
      <c r="G204">
        <v>38</v>
      </c>
      <c r="H204">
        <v>3</v>
      </c>
      <c r="I204">
        <v>1</v>
      </c>
      <c r="J204">
        <v>0</v>
      </c>
      <c r="K204">
        <v>1</v>
      </c>
    </row>
    <row r="205" spans="1:11">
      <c r="A205">
        <v>12</v>
      </c>
      <c r="B205">
        <v>0</v>
      </c>
      <c r="C205">
        <v>0</v>
      </c>
      <c r="D205">
        <v>26</v>
      </c>
      <c r="E205">
        <v>0</v>
      </c>
      <c r="F205">
        <v>11.84</v>
      </c>
      <c r="G205">
        <v>44</v>
      </c>
      <c r="H205">
        <v>3</v>
      </c>
      <c r="I205">
        <v>1</v>
      </c>
      <c r="J205">
        <v>0</v>
      </c>
      <c r="K205">
        <v>1</v>
      </c>
    </row>
    <row r="206" spans="1:11">
      <c r="A206">
        <v>14</v>
      </c>
      <c r="B206">
        <v>0</v>
      </c>
      <c r="C206">
        <v>0</v>
      </c>
      <c r="D206">
        <v>16</v>
      </c>
      <c r="E206">
        <v>0</v>
      </c>
      <c r="F206">
        <v>16.14</v>
      </c>
      <c r="G206">
        <v>36</v>
      </c>
      <c r="H206">
        <v>3</v>
      </c>
      <c r="I206">
        <v>1</v>
      </c>
      <c r="J206">
        <v>0</v>
      </c>
      <c r="K206">
        <v>0</v>
      </c>
    </row>
    <row r="207" spans="1:11">
      <c r="A207">
        <v>18</v>
      </c>
      <c r="B207">
        <v>0</v>
      </c>
      <c r="C207">
        <v>1</v>
      </c>
      <c r="D207">
        <v>14</v>
      </c>
      <c r="E207">
        <v>0</v>
      </c>
      <c r="F207">
        <v>13.95</v>
      </c>
      <c r="G207">
        <v>38</v>
      </c>
      <c r="H207">
        <v>3</v>
      </c>
      <c r="I207">
        <v>1</v>
      </c>
      <c r="J207">
        <v>0</v>
      </c>
      <c r="K207">
        <v>1</v>
      </c>
    </row>
    <row r="208" spans="1:11">
      <c r="A208">
        <v>12</v>
      </c>
      <c r="B208">
        <v>0</v>
      </c>
      <c r="C208">
        <v>1</v>
      </c>
      <c r="D208">
        <v>38</v>
      </c>
      <c r="E208">
        <v>0</v>
      </c>
      <c r="F208">
        <v>13.16</v>
      </c>
      <c r="G208">
        <v>56</v>
      </c>
      <c r="H208">
        <v>3</v>
      </c>
      <c r="I208">
        <v>1</v>
      </c>
      <c r="J208">
        <v>0</v>
      </c>
      <c r="K208">
        <v>1</v>
      </c>
    </row>
    <row r="209" spans="1:11">
      <c r="A209">
        <v>12</v>
      </c>
      <c r="B209">
        <v>1</v>
      </c>
      <c r="C209">
        <v>0</v>
      </c>
      <c r="D209">
        <v>14</v>
      </c>
      <c r="E209">
        <v>0</v>
      </c>
      <c r="F209">
        <v>5.3</v>
      </c>
      <c r="G209">
        <v>32</v>
      </c>
      <c r="H209">
        <v>1</v>
      </c>
      <c r="I209">
        <v>1</v>
      </c>
      <c r="J209">
        <v>0</v>
      </c>
      <c r="K209">
        <v>1</v>
      </c>
    </row>
    <row r="210" spans="1:11">
      <c r="A210">
        <v>12</v>
      </c>
      <c r="B210">
        <v>0</v>
      </c>
      <c r="C210">
        <v>1</v>
      </c>
      <c r="D210">
        <v>7</v>
      </c>
      <c r="E210">
        <v>0</v>
      </c>
      <c r="F210">
        <v>4.5</v>
      </c>
      <c r="G210">
        <v>25</v>
      </c>
      <c r="H210">
        <v>3</v>
      </c>
      <c r="I210">
        <v>1</v>
      </c>
      <c r="J210">
        <v>0</v>
      </c>
      <c r="K210">
        <v>1</v>
      </c>
    </row>
    <row r="211" spans="1:11">
      <c r="A211">
        <v>18</v>
      </c>
      <c r="B211">
        <v>1</v>
      </c>
      <c r="C211">
        <v>1</v>
      </c>
      <c r="D211">
        <v>13</v>
      </c>
      <c r="E211">
        <v>0</v>
      </c>
      <c r="F211">
        <v>10</v>
      </c>
      <c r="G211">
        <v>37</v>
      </c>
      <c r="H211">
        <v>3</v>
      </c>
      <c r="I211">
        <v>1</v>
      </c>
      <c r="J211">
        <v>0</v>
      </c>
      <c r="K211">
        <v>0</v>
      </c>
    </row>
    <row r="212" spans="1:11">
      <c r="A212">
        <v>10</v>
      </c>
      <c r="B212">
        <v>0</v>
      </c>
      <c r="C212">
        <v>0</v>
      </c>
      <c r="D212">
        <v>20</v>
      </c>
      <c r="E212">
        <v>0</v>
      </c>
      <c r="F212">
        <v>10</v>
      </c>
      <c r="G212">
        <v>36</v>
      </c>
      <c r="H212">
        <v>3</v>
      </c>
      <c r="I212">
        <v>1</v>
      </c>
      <c r="J212">
        <v>0</v>
      </c>
      <c r="K212">
        <v>1</v>
      </c>
    </row>
    <row r="213" spans="1:11">
      <c r="A213">
        <v>16</v>
      </c>
      <c r="B213">
        <v>0</v>
      </c>
      <c r="C213">
        <v>0</v>
      </c>
      <c r="D213">
        <v>7</v>
      </c>
      <c r="E213">
        <v>1</v>
      </c>
      <c r="F213">
        <v>10</v>
      </c>
      <c r="G213">
        <v>29</v>
      </c>
      <c r="H213">
        <v>2</v>
      </c>
      <c r="I213">
        <v>1</v>
      </c>
      <c r="J213">
        <v>0</v>
      </c>
      <c r="K213">
        <v>1</v>
      </c>
    </row>
    <row r="214" spans="1:11">
      <c r="A214">
        <v>16</v>
      </c>
      <c r="B214">
        <v>0</v>
      </c>
      <c r="C214">
        <v>1</v>
      </c>
      <c r="D214">
        <v>26</v>
      </c>
      <c r="E214">
        <v>0</v>
      </c>
      <c r="F214">
        <v>9.3699999999999992</v>
      </c>
      <c r="G214">
        <v>48</v>
      </c>
      <c r="H214">
        <v>3</v>
      </c>
      <c r="I214">
        <v>1</v>
      </c>
      <c r="J214">
        <v>0</v>
      </c>
      <c r="K214">
        <v>1</v>
      </c>
    </row>
    <row r="215" spans="1:11">
      <c r="A215">
        <v>16</v>
      </c>
      <c r="B215">
        <v>0</v>
      </c>
      <c r="C215">
        <v>0</v>
      </c>
      <c r="D215">
        <v>14</v>
      </c>
      <c r="E215">
        <v>0</v>
      </c>
      <c r="F215">
        <v>5.8</v>
      </c>
      <c r="G215">
        <v>36</v>
      </c>
      <c r="H215">
        <v>3</v>
      </c>
      <c r="I215">
        <v>1</v>
      </c>
      <c r="J215">
        <v>0</v>
      </c>
      <c r="K215">
        <v>1</v>
      </c>
    </row>
    <row r="216" spans="1:11">
      <c r="A216">
        <v>13</v>
      </c>
      <c r="B216">
        <v>0</v>
      </c>
      <c r="C216">
        <v>0</v>
      </c>
      <c r="D216">
        <v>36</v>
      </c>
      <c r="E216">
        <v>0</v>
      </c>
      <c r="F216">
        <v>17.86</v>
      </c>
      <c r="G216">
        <v>55</v>
      </c>
      <c r="H216">
        <v>3</v>
      </c>
      <c r="I216">
        <v>1</v>
      </c>
      <c r="J216">
        <v>0</v>
      </c>
      <c r="K216">
        <v>0</v>
      </c>
    </row>
    <row r="217" spans="1:11">
      <c r="A217">
        <v>12</v>
      </c>
      <c r="B217">
        <v>0</v>
      </c>
      <c r="C217">
        <v>0</v>
      </c>
      <c r="D217">
        <v>24</v>
      </c>
      <c r="E217">
        <v>0</v>
      </c>
      <c r="F217">
        <v>1</v>
      </c>
      <c r="G217">
        <v>42</v>
      </c>
      <c r="H217">
        <v>3</v>
      </c>
      <c r="I217">
        <v>1</v>
      </c>
      <c r="J217">
        <v>0</v>
      </c>
      <c r="K217">
        <v>1</v>
      </c>
    </row>
    <row r="218" spans="1:11">
      <c r="A218">
        <v>14</v>
      </c>
      <c r="B218">
        <v>1</v>
      </c>
      <c r="C218">
        <v>0</v>
      </c>
      <c r="D218">
        <v>41</v>
      </c>
      <c r="E218">
        <v>0</v>
      </c>
      <c r="F218">
        <v>8.8000000000000007</v>
      </c>
      <c r="G218">
        <v>61</v>
      </c>
      <c r="H218">
        <v>3</v>
      </c>
      <c r="I218">
        <v>1</v>
      </c>
      <c r="J218">
        <v>0</v>
      </c>
      <c r="K218">
        <v>1</v>
      </c>
    </row>
    <row r="219" spans="1:11">
      <c r="A219">
        <v>16</v>
      </c>
      <c r="B219">
        <v>0</v>
      </c>
      <c r="C219">
        <v>0</v>
      </c>
      <c r="D219">
        <v>7</v>
      </c>
      <c r="E219">
        <v>0</v>
      </c>
      <c r="F219">
        <v>9</v>
      </c>
      <c r="G219">
        <v>29</v>
      </c>
      <c r="H219">
        <v>1</v>
      </c>
      <c r="I219">
        <v>1</v>
      </c>
      <c r="J219">
        <v>0</v>
      </c>
      <c r="K219">
        <v>1</v>
      </c>
    </row>
    <row r="220" spans="1:11">
      <c r="A220">
        <v>17</v>
      </c>
      <c r="B220">
        <v>1</v>
      </c>
      <c r="C220">
        <v>0</v>
      </c>
      <c r="D220">
        <v>14</v>
      </c>
      <c r="E220">
        <v>0</v>
      </c>
      <c r="F220">
        <v>18.16</v>
      </c>
      <c r="G220">
        <v>37</v>
      </c>
      <c r="H220">
        <v>3</v>
      </c>
      <c r="I220">
        <v>1</v>
      </c>
      <c r="J220">
        <v>0</v>
      </c>
      <c r="K220">
        <v>0</v>
      </c>
    </row>
    <row r="221" spans="1:11">
      <c r="A221">
        <v>12</v>
      </c>
      <c r="B221">
        <v>1</v>
      </c>
      <c r="C221">
        <v>1</v>
      </c>
      <c r="D221">
        <v>1</v>
      </c>
      <c r="E221">
        <v>0</v>
      </c>
      <c r="F221">
        <v>7.81</v>
      </c>
      <c r="G221">
        <v>19</v>
      </c>
      <c r="H221">
        <v>3</v>
      </c>
      <c r="I221">
        <v>1</v>
      </c>
      <c r="J221">
        <v>0</v>
      </c>
      <c r="K221">
        <v>0</v>
      </c>
    </row>
    <row r="222" spans="1:11">
      <c r="A222">
        <v>16</v>
      </c>
      <c r="B222">
        <v>0</v>
      </c>
      <c r="C222">
        <v>1</v>
      </c>
      <c r="D222">
        <v>6</v>
      </c>
      <c r="E222">
        <v>0</v>
      </c>
      <c r="F222">
        <v>10.62</v>
      </c>
      <c r="G222">
        <v>28</v>
      </c>
      <c r="H222">
        <v>3</v>
      </c>
      <c r="I222">
        <v>1</v>
      </c>
      <c r="J222">
        <v>1</v>
      </c>
      <c r="K222">
        <v>1</v>
      </c>
    </row>
    <row r="223" spans="1:11">
      <c r="A223">
        <v>12</v>
      </c>
      <c r="B223">
        <v>0</v>
      </c>
      <c r="C223">
        <v>1</v>
      </c>
      <c r="D223">
        <v>3</v>
      </c>
      <c r="E223">
        <v>0</v>
      </c>
      <c r="F223">
        <v>4.5</v>
      </c>
      <c r="G223">
        <v>21</v>
      </c>
      <c r="H223">
        <v>3</v>
      </c>
      <c r="I223">
        <v>1</v>
      </c>
      <c r="J223">
        <v>0</v>
      </c>
      <c r="K223">
        <v>1</v>
      </c>
    </row>
    <row r="224" spans="1:11">
      <c r="A224">
        <v>15</v>
      </c>
      <c r="B224">
        <v>0</v>
      </c>
      <c r="C224">
        <v>0</v>
      </c>
      <c r="D224">
        <v>31</v>
      </c>
      <c r="E224">
        <v>0</v>
      </c>
      <c r="F224">
        <v>17.25</v>
      </c>
      <c r="G224">
        <v>52</v>
      </c>
      <c r="H224">
        <v>3</v>
      </c>
      <c r="I224">
        <v>1</v>
      </c>
      <c r="J224">
        <v>0</v>
      </c>
      <c r="K224">
        <v>1</v>
      </c>
    </row>
    <row r="225" spans="1:11">
      <c r="A225">
        <v>13</v>
      </c>
      <c r="B225">
        <v>0</v>
      </c>
      <c r="C225">
        <v>1</v>
      </c>
      <c r="D225">
        <v>14</v>
      </c>
      <c r="E225">
        <v>0</v>
      </c>
      <c r="F225">
        <v>10.5</v>
      </c>
      <c r="G225">
        <v>33</v>
      </c>
      <c r="H225">
        <v>3</v>
      </c>
      <c r="I225">
        <v>1</v>
      </c>
      <c r="J225">
        <v>1</v>
      </c>
      <c r="K225">
        <v>1</v>
      </c>
    </row>
    <row r="226" spans="1:11">
      <c r="A226">
        <v>14</v>
      </c>
      <c r="B226">
        <v>0</v>
      </c>
      <c r="C226">
        <v>1</v>
      </c>
      <c r="D226">
        <v>13</v>
      </c>
      <c r="E226">
        <v>0</v>
      </c>
      <c r="F226">
        <v>9.2200000000000006</v>
      </c>
      <c r="G226">
        <v>33</v>
      </c>
      <c r="H226">
        <v>3</v>
      </c>
      <c r="I226">
        <v>1</v>
      </c>
      <c r="J226">
        <v>0</v>
      </c>
      <c r="K226">
        <v>1</v>
      </c>
    </row>
    <row r="227" spans="1:11">
      <c r="A227">
        <v>16</v>
      </c>
      <c r="B227">
        <v>0</v>
      </c>
      <c r="C227">
        <v>0</v>
      </c>
      <c r="D227">
        <v>26</v>
      </c>
      <c r="E227">
        <v>1</v>
      </c>
      <c r="F227">
        <v>15</v>
      </c>
      <c r="G227">
        <v>48</v>
      </c>
      <c r="H227">
        <v>1</v>
      </c>
      <c r="I227">
        <v>1</v>
      </c>
      <c r="J227">
        <v>1</v>
      </c>
      <c r="K227">
        <v>1</v>
      </c>
    </row>
    <row r="228" spans="1:11">
      <c r="A228">
        <v>18</v>
      </c>
      <c r="B228">
        <v>0</v>
      </c>
      <c r="C228">
        <v>0</v>
      </c>
      <c r="D228">
        <v>14</v>
      </c>
      <c r="E228">
        <v>0</v>
      </c>
      <c r="F228">
        <v>22.5</v>
      </c>
      <c r="G228">
        <v>38</v>
      </c>
      <c r="H228">
        <v>3</v>
      </c>
      <c r="I228">
        <v>1</v>
      </c>
      <c r="J228">
        <v>0</v>
      </c>
      <c r="K228">
        <v>1</v>
      </c>
    </row>
    <row r="229" spans="1:11">
      <c r="A229">
        <v>13</v>
      </c>
      <c r="B229">
        <v>0</v>
      </c>
      <c r="C229">
        <v>1</v>
      </c>
      <c r="D229">
        <v>33</v>
      </c>
      <c r="E229">
        <v>0</v>
      </c>
      <c r="F229">
        <v>4.55</v>
      </c>
      <c r="G229">
        <v>52</v>
      </c>
      <c r="H229">
        <v>3</v>
      </c>
      <c r="I229">
        <v>2</v>
      </c>
      <c r="J229">
        <v>0</v>
      </c>
      <c r="K229">
        <v>1</v>
      </c>
    </row>
    <row r="230" spans="1:11">
      <c r="A230">
        <v>12</v>
      </c>
      <c r="B230">
        <v>0</v>
      </c>
      <c r="C230">
        <v>0</v>
      </c>
      <c r="D230">
        <v>16</v>
      </c>
      <c r="E230">
        <v>0</v>
      </c>
      <c r="F230">
        <v>9</v>
      </c>
      <c r="G230">
        <v>34</v>
      </c>
      <c r="H230">
        <v>3</v>
      </c>
      <c r="I230">
        <v>2</v>
      </c>
      <c r="J230">
        <v>0</v>
      </c>
      <c r="K230">
        <v>1</v>
      </c>
    </row>
    <row r="231" spans="1:11">
      <c r="A231">
        <v>18</v>
      </c>
      <c r="B231">
        <v>0</v>
      </c>
      <c r="C231">
        <v>0</v>
      </c>
      <c r="D231">
        <v>10</v>
      </c>
      <c r="E231">
        <v>0</v>
      </c>
      <c r="F231">
        <v>13.33</v>
      </c>
      <c r="G231">
        <v>34</v>
      </c>
      <c r="H231">
        <v>3</v>
      </c>
      <c r="I231">
        <v>2</v>
      </c>
      <c r="J231">
        <v>0</v>
      </c>
      <c r="K231">
        <v>1</v>
      </c>
    </row>
    <row r="232" spans="1:11">
      <c r="A232">
        <v>14</v>
      </c>
      <c r="B232">
        <v>0</v>
      </c>
      <c r="C232">
        <v>0</v>
      </c>
      <c r="D232">
        <v>22</v>
      </c>
      <c r="E232">
        <v>0</v>
      </c>
      <c r="F232">
        <v>15</v>
      </c>
      <c r="G232">
        <v>42</v>
      </c>
      <c r="H232">
        <v>3</v>
      </c>
      <c r="I232">
        <v>2</v>
      </c>
      <c r="J232">
        <v>0</v>
      </c>
      <c r="K232">
        <v>0</v>
      </c>
    </row>
    <row r="233" spans="1:11">
      <c r="A233">
        <v>14</v>
      </c>
      <c r="B233">
        <v>0</v>
      </c>
      <c r="C233">
        <v>0</v>
      </c>
      <c r="D233">
        <v>2</v>
      </c>
      <c r="E233">
        <v>0</v>
      </c>
      <c r="F233">
        <v>7.5</v>
      </c>
      <c r="G233">
        <v>22</v>
      </c>
      <c r="H233">
        <v>3</v>
      </c>
      <c r="I233">
        <v>2</v>
      </c>
      <c r="J233">
        <v>0</v>
      </c>
      <c r="K233">
        <v>0</v>
      </c>
    </row>
    <row r="234" spans="1:11">
      <c r="A234">
        <v>12</v>
      </c>
      <c r="B234">
        <v>1</v>
      </c>
      <c r="C234">
        <v>1</v>
      </c>
      <c r="D234">
        <v>29</v>
      </c>
      <c r="E234">
        <v>0</v>
      </c>
      <c r="F234">
        <v>4.25</v>
      </c>
      <c r="G234">
        <v>47</v>
      </c>
      <c r="H234">
        <v>3</v>
      </c>
      <c r="I234">
        <v>2</v>
      </c>
      <c r="J234">
        <v>0</v>
      </c>
      <c r="K234">
        <v>1</v>
      </c>
    </row>
    <row r="235" spans="1:11">
      <c r="A235">
        <v>12</v>
      </c>
      <c r="B235">
        <v>0</v>
      </c>
      <c r="C235">
        <v>0</v>
      </c>
      <c r="D235">
        <v>43</v>
      </c>
      <c r="E235">
        <v>0</v>
      </c>
      <c r="F235">
        <v>12.5</v>
      </c>
      <c r="G235">
        <v>61</v>
      </c>
      <c r="H235">
        <v>3</v>
      </c>
      <c r="I235">
        <v>2</v>
      </c>
      <c r="J235">
        <v>1</v>
      </c>
      <c r="K235">
        <v>1</v>
      </c>
    </row>
    <row r="236" spans="1:11">
      <c r="A236">
        <v>12</v>
      </c>
      <c r="B236">
        <v>0</v>
      </c>
      <c r="C236">
        <v>1</v>
      </c>
      <c r="D236">
        <v>5</v>
      </c>
      <c r="E236">
        <v>0</v>
      </c>
      <c r="F236">
        <v>5.13</v>
      </c>
      <c r="G236">
        <v>23</v>
      </c>
      <c r="H236">
        <v>3</v>
      </c>
      <c r="I236">
        <v>2</v>
      </c>
      <c r="J236">
        <v>0</v>
      </c>
      <c r="K236">
        <v>1</v>
      </c>
    </row>
    <row r="237" spans="1:11">
      <c r="A237">
        <v>16</v>
      </c>
      <c r="B237">
        <v>1</v>
      </c>
      <c r="C237">
        <v>1</v>
      </c>
      <c r="D237">
        <v>14</v>
      </c>
      <c r="E237">
        <v>0</v>
      </c>
      <c r="F237">
        <v>3.35</v>
      </c>
      <c r="G237">
        <v>36</v>
      </c>
      <c r="H237">
        <v>1</v>
      </c>
      <c r="I237">
        <v>2</v>
      </c>
      <c r="J237">
        <v>0</v>
      </c>
      <c r="K237">
        <v>1</v>
      </c>
    </row>
    <row r="238" spans="1:11">
      <c r="A238">
        <v>12</v>
      </c>
      <c r="B238">
        <v>1</v>
      </c>
      <c r="C238">
        <v>0</v>
      </c>
      <c r="D238">
        <v>28</v>
      </c>
      <c r="E238">
        <v>0</v>
      </c>
      <c r="F238">
        <v>11.11</v>
      </c>
      <c r="G238">
        <v>46</v>
      </c>
      <c r="H238">
        <v>3</v>
      </c>
      <c r="I238">
        <v>2</v>
      </c>
      <c r="J238">
        <v>0</v>
      </c>
      <c r="K238">
        <v>1</v>
      </c>
    </row>
    <row r="239" spans="1:11">
      <c r="A239">
        <v>11</v>
      </c>
      <c r="B239">
        <v>1</v>
      </c>
      <c r="C239">
        <v>1</v>
      </c>
      <c r="D239">
        <v>25</v>
      </c>
      <c r="E239">
        <v>0</v>
      </c>
      <c r="F239">
        <v>3.84</v>
      </c>
      <c r="G239">
        <v>42</v>
      </c>
      <c r="H239">
        <v>1</v>
      </c>
      <c r="I239">
        <v>2</v>
      </c>
      <c r="J239">
        <v>0</v>
      </c>
      <c r="K239">
        <v>1</v>
      </c>
    </row>
    <row r="240" spans="1:11">
      <c r="A240">
        <v>12</v>
      </c>
      <c r="B240">
        <v>0</v>
      </c>
      <c r="C240">
        <v>1</v>
      </c>
      <c r="D240">
        <v>45</v>
      </c>
      <c r="E240">
        <v>0</v>
      </c>
      <c r="F240">
        <v>6.4</v>
      </c>
      <c r="G240">
        <v>63</v>
      </c>
      <c r="H240">
        <v>3</v>
      </c>
      <c r="I240">
        <v>2</v>
      </c>
      <c r="J240">
        <v>0</v>
      </c>
      <c r="K240">
        <v>1</v>
      </c>
    </row>
    <row r="241" spans="1:11">
      <c r="A241">
        <v>14</v>
      </c>
      <c r="B241">
        <v>1</v>
      </c>
      <c r="C241">
        <v>0</v>
      </c>
      <c r="D241">
        <v>5</v>
      </c>
      <c r="E241">
        <v>0</v>
      </c>
      <c r="F241">
        <v>5.56</v>
      </c>
      <c r="G241">
        <v>25</v>
      </c>
      <c r="H241">
        <v>3</v>
      </c>
      <c r="I241">
        <v>2</v>
      </c>
      <c r="J241">
        <v>0</v>
      </c>
      <c r="K241">
        <v>0</v>
      </c>
    </row>
    <row r="242" spans="1:11">
      <c r="A242">
        <v>12</v>
      </c>
      <c r="B242">
        <v>1</v>
      </c>
      <c r="C242">
        <v>0</v>
      </c>
      <c r="D242">
        <v>20</v>
      </c>
      <c r="E242">
        <v>0</v>
      </c>
      <c r="F242">
        <v>10</v>
      </c>
      <c r="G242">
        <v>38</v>
      </c>
      <c r="H242">
        <v>3</v>
      </c>
      <c r="I242">
        <v>2</v>
      </c>
      <c r="J242">
        <v>1</v>
      </c>
      <c r="K242">
        <v>1</v>
      </c>
    </row>
    <row r="243" spans="1:11">
      <c r="A243">
        <v>16</v>
      </c>
      <c r="B243">
        <v>0</v>
      </c>
      <c r="C243">
        <v>1</v>
      </c>
      <c r="D243">
        <v>6</v>
      </c>
      <c r="E243">
        <v>0</v>
      </c>
      <c r="F243">
        <v>5.65</v>
      </c>
      <c r="G243">
        <v>28</v>
      </c>
      <c r="H243">
        <v>3</v>
      </c>
      <c r="I243">
        <v>2</v>
      </c>
      <c r="J243">
        <v>0</v>
      </c>
      <c r="K243">
        <v>1</v>
      </c>
    </row>
    <row r="244" spans="1:11">
      <c r="A244">
        <v>16</v>
      </c>
      <c r="B244">
        <v>0</v>
      </c>
      <c r="C244">
        <v>0</v>
      </c>
      <c r="D244">
        <v>16</v>
      </c>
      <c r="E244">
        <v>0</v>
      </c>
      <c r="F244">
        <v>11.5</v>
      </c>
      <c r="G244">
        <v>38</v>
      </c>
      <c r="H244">
        <v>3</v>
      </c>
      <c r="I244">
        <v>2</v>
      </c>
      <c r="J244">
        <v>0</v>
      </c>
      <c r="K244">
        <v>1</v>
      </c>
    </row>
    <row r="245" spans="1:11">
      <c r="A245">
        <v>11</v>
      </c>
      <c r="B245">
        <v>0</v>
      </c>
      <c r="C245">
        <v>1</v>
      </c>
      <c r="D245">
        <v>33</v>
      </c>
      <c r="E245">
        <v>0</v>
      </c>
      <c r="F245">
        <v>3.5</v>
      </c>
      <c r="G245">
        <v>50</v>
      </c>
      <c r="H245">
        <v>3</v>
      </c>
      <c r="I245">
        <v>2</v>
      </c>
      <c r="J245">
        <v>0</v>
      </c>
      <c r="K245">
        <v>1</v>
      </c>
    </row>
    <row r="246" spans="1:11">
      <c r="A246">
        <v>13</v>
      </c>
      <c r="B246">
        <v>1</v>
      </c>
      <c r="C246">
        <v>1</v>
      </c>
      <c r="D246">
        <v>2</v>
      </c>
      <c r="E246">
        <v>0</v>
      </c>
      <c r="F246">
        <v>3.35</v>
      </c>
      <c r="G246">
        <v>21</v>
      </c>
      <c r="H246">
        <v>3</v>
      </c>
      <c r="I246">
        <v>2</v>
      </c>
      <c r="J246">
        <v>0</v>
      </c>
      <c r="K246">
        <v>1</v>
      </c>
    </row>
    <row r="247" spans="1:11">
      <c r="A247">
        <v>12</v>
      </c>
      <c r="B247">
        <v>1</v>
      </c>
      <c r="C247">
        <v>1</v>
      </c>
      <c r="D247">
        <v>10</v>
      </c>
      <c r="E247">
        <v>0</v>
      </c>
      <c r="F247">
        <v>4.75</v>
      </c>
      <c r="G247">
        <v>28</v>
      </c>
      <c r="H247">
        <v>3</v>
      </c>
      <c r="I247">
        <v>2</v>
      </c>
      <c r="J247">
        <v>0</v>
      </c>
      <c r="K247">
        <v>0</v>
      </c>
    </row>
    <row r="248" spans="1:11">
      <c r="A248">
        <v>14</v>
      </c>
      <c r="B248">
        <v>1</v>
      </c>
      <c r="C248">
        <v>0</v>
      </c>
      <c r="D248">
        <v>44</v>
      </c>
      <c r="E248">
        <v>0</v>
      </c>
      <c r="F248">
        <v>19.98</v>
      </c>
      <c r="G248">
        <v>64</v>
      </c>
      <c r="H248">
        <v>3</v>
      </c>
      <c r="I248">
        <v>2</v>
      </c>
      <c r="J248">
        <v>0</v>
      </c>
      <c r="K248">
        <v>1</v>
      </c>
    </row>
    <row r="249" spans="1:11">
      <c r="A249">
        <v>14</v>
      </c>
      <c r="B249">
        <v>1</v>
      </c>
      <c r="C249">
        <v>1</v>
      </c>
      <c r="D249">
        <v>6</v>
      </c>
      <c r="E249">
        <v>0</v>
      </c>
      <c r="F249">
        <v>3.5</v>
      </c>
      <c r="G249">
        <v>26</v>
      </c>
      <c r="H249">
        <v>3</v>
      </c>
      <c r="I249">
        <v>2</v>
      </c>
      <c r="J249">
        <v>0</v>
      </c>
      <c r="K249">
        <v>1</v>
      </c>
    </row>
    <row r="250" spans="1:11">
      <c r="A250">
        <v>12</v>
      </c>
      <c r="B250">
        <v>0</v>
      </c>
      <c r="C250">
        <v>1</v>
      </c>
      <c r="D250">
        <v>15</v>
      </c>
      <c r="E250">
        <v>0</v>
      </c>
      <c r="F250">
        <v>4</v>
      </c>
      <c r="G250">
        <v>33</v>
      </c>
      <c r="H250">
        <v>3</v>
      </c>
      <c r="I250">
        <v>2</v>
      </c>
      <c r="J250">
        <v>0</v>
      </c>
      <c r="K250">
        <v>0</v>
      </c>
    </row>
    <row r="251" spans="1:11">
      <c r="A251">
        <v>12</v>
      </c>
      <c r="B251">
        <v>0</v>
      </c>
      <c r="C251">
        <v>0</v>
      </c>
      <c r="D251">
        <v>5</v>
      </c>
      <c r="E251">
        <v>0</v>
      </c>
      <c r="F251">
        <v>7</v>
      </c>
      <c r="G251">
        <v>23</v>
      </c>
      <c r="H251">
        <v>3</v>
      </c>
      <c r="I251">
        <v>2</v>
      </c>
      <c r="J251">
        <v>0</v>
      </c>
      <c r="K251">
        <v>1</v>
      </c>
    </row>
    <row r="252" spans="1:11">
      <c r="A252">
        <v>13</v>
      </c>
      <c r="B252">
        <v>0</v>
      </c>
      <c r="C252">
        <v>1</v>
      </c>
      <c r="D252">
        <v>4</v>
      </c>
      <c r="E252">
        <v>0</v>
      </c>
      <c r="F252">
        <v>6.25</v>
      </c>
      <c r="G252">
        <v>23</v>
      </c>
      <c r="H252">
        <v>3</v>
      </c>
      <c r="I252">
        <v>2</v>
      </c>
      <c r="J252">
        <v>1</v>
      </c>
      <c r="K252">
        <v>1</v>
      </c>
    </row>
    <row r="253" spans="1:11">
      <c r="A253">
        <v>14</v>
      </c>
      <c r="B253">
        <v>0</v>
      </c>
      <c r="C253">
        <v>0</v>
      </c>
      <c r="D253">
        <v>14</v>
      </c>
      <c r="E253">
        <v>0</v>
      </c>
      <c r="F253">
        <v>4.5</v>
      </c>
      <c r="G253">
        <v>34</v>
      </c>
      <c r="H253">
        <v>3</v>
      </c>
      <c r="I253">
        <v>2</v>
      </c>
      <c r="J253">
        <v>0</v>
      </c>
      <c r="K253">
        <v>1</v>
      </c>
    </row>
    <row r="254" spans="1:11">
      <c r="A254">
        <v>14</v>
      </c>
      <c r="B254">
        <v>0</v>
      </c>
      <c r="C254">
        <v>1</v>
      </c>
      <c r="D254">
        <v>32</v>
      </c>
      <c r="E254">
        <v>0</v>
      </c>
      <c r="F254">
        <v>14.29</v>
      </c>
      <c r="G254">
        <v>52</v>
      </c>
      <c r="H254">
        <v>3</v>
      </c>
      <c r="I254">
        <v>2</v>
      </c>
      <c r="J254">
        <v>0</v>
      </c>
      <c r="K254">
        <v>1</v>
      </c>
    </row>
    <row r="255" spans="1:11">
      <c r="A255">
        <v>12</v>
      </c>
      <c r="B255">
        <v>0</v>
      </c>
      <c r="C255">
        <v>1</v>
      </c>
      <c r="D255">
        <v>14</v>
      </c>
      <c r="E255">
        <v>0</v>
      </c>
      <c r="F255">
        <v>5</v>
      </c>
      <c r="G255">
        <v>32</v>
      </c>
      <c r="H255">
        <v>3</v>
      </c>
      <c r="I255">
        <v>2</v>
      </c>
      <c r="J255">
        <v>0</v>
      </c>
      <c r="K255">
        <v>1</v>
      </c>
    </row>
    <row r="256" spans="1:11">
      <c r="A256">
        <v>14</v>
      </c>
      <c r="B256">
        <v>0</v>
      </c>
      <c r="C256">
        <v>0</v>
      </c>
      <c r="D256">
        <v>21</v>
      </c>
      <c r="E256">
        <v>0</v>
      </c>
      <c r="F256">
        <v>13.75</v>
      </c>
      <c r="G256">
        <v>41</v>
      </c>
      <c r="H256">
        <v>3</v>
      </c>
      <c r="I256">
        <v>2</v>
      </c>
      <c r="J256">
        <v>0</v>
      </c>
      <c r="K256">
        <v>1</v>
      </c>
    </row>
    <row r="257" spans="1:11">
      <c r="A257">
        <v>12</v>
      </c>
      <c r="B257">
        <v>0</v>
      </c>
      <c r="C257">
        <v>0</v>
      </c>
      <c r="D257">
        <v>43</v>
      </c>
      <c r="E257">
        <v>1</v>
      </c>
      <c r="F257">
        <v>13.71</v>
      </c>
      <c r="G257">
        <v>61</v>
      </c>
      <c r="H257">
        <v>3</v>
      </c>
      <c r="I257">
        <v>2</v>
      </c>
      <c r="J257">
        <v>0</v>
      </c>
      <c r="K257">
        <v>1</v>
      </c>
    </row>
    <row r="258" spans="1:11">
      <c r="A258">
        <v>12</v>
      </c>
      <c r="B258">
        <v>1</v>
      </c>
      <c r="C258">
        <v>1</v>
      </c>
      <c r="D258">
        <v>27</v>
      </c>
      <c r="E258">
        <v>0</v>
      </c>
      <c r="F258">
        <v>7.5</v>
      </c>
      <c r="G258">
        <v>45</v>
      </c>
      <c r="H258">
        <v>1</v>
      </c>
      <c r="I258">
        <v>2</v>
      </c>
      <c r="J258">
        <v>0</v>
      </c>
      <c r="K258">
        <v>1</v>
      </c>
    </row>
    <row r="259" spans="1:11">
      <c r="A259">
        <v>12</v>
      </c>
      <c r="B259">
        <v>0</v>
      </c>
      <c r="C259">
        <v>1</v>
      </c>
      <c r="D259">
        <v>4</v>
      </c>
      <c r="E259">
        <v>0</v>
      </c>
      <c r="F259">
        <v>3.8</v>
      </c>
      <c r="G259">
        <v>22</v>
      </c>
      <c r="H259">
        <v>3</v>
      </c>
      <c r="I259">
        <v>2</v>
      </c>
      <c r="J259">
        <v>0</v>
      </c>
      <c r="K259">
        <v>0</v>
      </c>
    </row>
    <row r="260" spans="1:11">
      <c r="A260">
        <v>14</v>
      </c>
      <c r="B260">
        <v>0</v>
      </c>
      <c r="C260">
        <v>0</v>
      </c>
      <c r="D260">
        <v>0</v>
      </c>
      <c r="E260">
        <v>0</v>
      </c>
      <c r="F260">
        <v>5</v>
      </c>
      <c r="G260">
        <v>20</v>
      </c>
      <c r="H260">
        <v>2</v>
      </c>
      <c r="I260">
        <v>2</v>
      </c>
      <c r="J260">
        <v>0</v>
      </c>
      <c r="K260">
        <v>0</v>
      </c>
    </row>
    <row r="261" spans="1:11">
      <c r="A261">
        <v>12</v>
      </c>
      <c r="B261">
        <v>1</v>
      </c>
      <c r="C261">
        <v>0</v>
      </c>
      <c r="D261">
        <v>32</v>
      </c>
      <c r="E261">
        <v>0</v>
      </c>
      <c r="F261">
        <v>9.42</v>
      </c>
      <c r="G261">
        <v>50</v>
      </c>
      <c r="H261">
        <v>3</v>
      </c>
      <c r="I261">
        <v>2</v>
      </c>
      <c r="J261">
        <v>0</v>
      </c>
      <c r="K261">
        <v>1</v>
      </c>
    </row>
    <row r="262" spans="1:11">
      <c r="A262">
        <v>12</v>
      </c>
      <c r="B262">
        <v>0</v>
      </c>
      <c r="C262">
        <v>0</v>
      </c>
      <c r="D262">
        <v>20</v>
      </c>
      <c r="E262">
        <v>0</v>
      </c>
      <c r="F262">
        <v>5.5</v>
      </c>
      <c r="G262">
        <v>38</v>
      </c>
      <c r="H262">
        <v>3</v>
      </c>
      <c r="I262">
        <v>2</v>
      </c>
      <c r="J262">
        <v>0</v>
      </c>
      <c r="K262">
        <v>1</v>
      </c>
    </row>
    <row r="263" spans="1:11">
      <c r="A263">
        <v>15</v>
      </c>
      <c r="B263">
        <v>1</v>
      </c>
      <c r="C263">
        <v>0</v>
      </c>
      <c r="D263">
        <v>4</v>
      </c>
      <c r="E263">
        <v>0</v>
      </c>
      <c r="F263">
        <v>3.75</v>
      </c>
      <c r="G263">
        <v>25</v>
      </c>
      <c r="H263">
        <v>3</v>
      </c>
      <c r="I263">
        <v>2</v>
      </c>
      <c r="J263">
        <v>0</v>
      </c>
      <c r="K263">
        <v>0</v>
      </c>
    </row>
    <row r="264" spans="1:11">
      <c r="A264">
        <v>12</v>
      </c>
      <c r="B264">
        <v>0</v>
      </c>
      <c r="C264">
        <v>0</v>
      </c>
      <c r="D264">
        <v>34</v>
      </c>
      <c r="E264">
        <v>0</v>
      </c>
      <c r="F264">
        <v>3.5</v>
      </c>
      <c r="G264">
        <v>52</v>
      </c>
      <c r="H264">
        <v>3</v>
      </c>
      <c r="I264">
        <v>2</v>
      </c>
      <c r="J264">
        <v>0</v>
      </c>
      <c r="K264">
        <v>1</v>
      </c>
    </row>
    <row r="265" spans="1:11">
      <c r="A265">
        <v>13</v>
      </c>
      <c r="B265">
        <v>0</v>
      </c>
      <c r="C265">
        <v>0</v>
      </c>
      <c r="D265">
        <v>5</v>
      </c>
      <c r="E265">
        <v>0</v>
      </c>
      <c r="F265">
        <v>5.8</v>
      </c>
      <c r="G265">
        <v>24</v>
      </c>
      <c r="H265">
        <v>3</v>
      </c>
      <c r="I265">
        <v>2</v>
      </c>
      <c r="J265">
        <v>0</v>
      </c>
      <c r="K265">
        <v>0</v>
      </c>
    </row>
    <row r="266" spans="1:11">
      <c r="A266">
        <v>17</v>
      </c>
      <c r="B266">
        <v>0</v>
      </c>
      <c r="C266">
        <v>0</v>
      </c>
      <c r="D266">
        <v>13</v>
      </c>
      <c r="E266">
        <v>0</v>
      </c>
      <c r="F266">
        <v>12</v>
      </c>
      <c r="G266">
        <v>36</v>
      </c>
      <c r="H266">
        <v>3</v>
      </c>
      <c r="I266">
        <v>2</v>
      </c>
      <c r="J266">
        <v>1</v>
      </c>
      <c r="K266">
        <v>1</v>
      </c>
    </row>
    <row r="267" spans="1:11">
      <c r="A267">
        <v>14</v>
      </c>
      <c r="B267">
        <v>0</v>
      </c>
      <c r="C267">
        <v>1</v>
      </c>
      <c r="D267">
        <v>17</v>
      </c>
      <c r="E267">
        <v>0</v>
      </c>
      <c r="F267">
        <v>5</v>
      </c>
      <c r="G267">
        <v>37</v>
      </c>
      <c r="H267">
        <v>2</v>
      </c>
      <c r="I267">
        <v>3</v>
      </c>
      <c r="J267">
        <v>0</v>
      </c>
      <c r="K267">
        <v>1</v>
      </c>
    </row>
    <row r="268" spans="1:11">
      <c r="A268">
        <v>13</v>
      </c>
      <c r="B268">
        <v>1</v>
      </c>
      <c r="C268">
        <v>1</v>
      </c>
      <c r="D268">
        <v>10</v>
      </c>
      <c r="E268">
        <v>0</v>
      </c>
      <c r="F268">
        <v>8.75</v>
      </c>
      <c r="G268">
        <v>29</v>
      </c>
      <c r="H268">
        <v>3</v>
      </c>
      <c r="I268">
        <v>3</v>
      </c>
      <c r="J268">
        <v>0</v>
      </c>
      <c r="K268">
        <v>1</v>
      </c>
    </row>
    <row r="269" spans="1:11">
      <c r="A269">
        <v>16</v>
      </c>
      <c r="B269">
        <v>0</v>
      </c>
      <c r="C269">
        <v>1</v>
      </c>
      <c r="D269">
        <v>7</v>
      </c>
      <c r="E269">
        <v>0</v>
      </c>
      <c r="F269">
        <v>10</v>
      </c>
      <c r="G269">
        <v>29</v>
      </c>
      <c r="H269">
        <v>3</v>
      </c>
      <c r="I269">
        <v>3</v>
      </c>
      <c r="J269">
        <v>0</v>
      </c>
      <c r="K269">
        <v>1</v>
      </c>
    </row>
    <row r="270" spans="1:11">
      <c r="A270">
        <v>12</v>
      </c>
      <c r="B270">
        <v>0</v>
      </c>
      <c r="C270">
        <v>1</v>
      </c>
      <c r="D270">
        <v>25</v>
      </c>
      <c r="E270">
        <v>0</v>
      </c>
      <c r="F270">
        <v>8.5</v>
      </c>
      <c r="G270">
        <v>43</v>
      </c>
      <c r="H270">
        <v>3</v>
      </c>
      <c r="I270">
        <v>3</v>
      </c>
      <c r="J270">
        <v>0</v>
      </c>
      <c r="K270">
        <v>0</v>
      </c>
    </row>
    <row r="271" spans="1:11">
      <c r="A271">
        <v>12</v>
      </c>
      <c r="B271">
        <v>0</v>
      </c>
      <c r="C271">
        <v>1</v>
      </c>
      <c r="D271">
        <v>18</v>
      </c>
      <c r="E271">
        <v>0</v>
      </c>
      <c r="F271">
        <v>8.6300000000000008</v>
      </c>
      <c r="G271">
        <v>36</v>
      </c>
      <c r="H271">
        <v>1</v>
      </c>
      <c r="I271">
        <v>3</v>
      </c>
      <c r="J271">
        <v>0</v>
      </c>
      <c r="K271">
        <v>1</v>
      </c>
    </row>
    <row r="272" spans="1:11">
      <c r="A272">
        <v>16</v>
      </c>
      <c r="B272">
        <v>0</v>
      </c>
      <c r="C272">
        <v>1</v>
      </c>
      <c r="D272">
        <v>27</v>
      </c>
      <c r="E272">
        <v>0</v>
      </c>
      <c r="F272">
        <v>9</v>
      </c>
      <c r="G272">
        <v>49</v>
      </c>
      <c r="H272">
        <v>3</v>
      </c>
      <c r="I272">
        <v>3</v>
      </c>
      <c r="J272">
        <v>1</v>
      </c>
      <c r="K272">
        <v>1</v>
      </c>
    </row>
    <row r="273" spans="1:11">
      <c r="A273">
        <v>16</v>
      </c>
      <c r="B273">
        <v>0</v>
      </c>
      <c r="C273">
        <v>1</v>
      </c>
      <c r="D273">
        <v>2</v>
      </c>
      <c r="E273">
        <v>0</v>
      </c>
      <c r="F273">
        <v>5.5</v>
      </c>
      <c r="G273">
        <v>24</v>
      </c>
      <c r="H273">
        <v>3</v>
      </c>
      <c r="I273">
        <v>3</v>
      </c>
      <c r="J273">
        <v>0</v>
      </c>
      <c r="K273">
        <v>0</v>
      </c>
    </row>
    <row r="274" spans="1:11">
      <c r="A274">
        <v>13</v>
      </c>
      <c r="B274">
        <v>0</v>
      </c>
      <c r="C274">
        <v>0</v>
      </c>
      <c r="D274">
        <v>13</v>
      </c>
      <c r="E274">
        <v>0</v>
      </c>
      <c r="F274">
        <v>11.11</v>
      </c>
      <c r="G274">
        <v>32</v>
      </c>
      <c r="H274">
        <v>3</v>
      </c>
      <c r="I274">
        <v>3</v>
      </c>
      <c r="J274">
        <v>0</v>
      </c>
      <c r="K274">
        <v>1</v>
      </c>
    </row>
    <row r="275" spans="1:11">
      <c r="A275">
        <v>14</v>
      </c>
      <c r="B275">
        <v>0</v>
      </c>
      <c r="C275">
        <v>1</v>
      </c>
      <c r="D275">
        <v>24</v>
      </c>
      <c r="E275">
        <v>0</v>
      </c>
      <c r="F275">
        <v>10</v>
      </c>
      <c r="G275">
        <v>44</v>
      </c>
      <c r="H275">
        <v>3</v>
      </c>
      <c r="I275">
        <v>3</v>
      </c>
      <c r="J275">
        <v>0</v>
      </c>
      <c r="K275">
        <v>0</v>
      </c>
    </row>
    <row r="276" spans="1:11">
      <c r="A276">
        <v>18</v>
      </c>
      <c r="B276">
        <v>1</v>
      </c>
      <c r="C276">
        <v>1</v>
      </c>
      <c r="D276">
        <v>13</v>
      </c>
      <c r="E276">
        <v>0</v>
      </c>
      <c r="F276">
        <v>5.2</v>
      </c>
      <c r="G276">
        <v>37</v>
      </c>
      <c r="H276">
        <v>2</v>
      </c>
      <c r="I276">
        <v>3</v>
      </c>
      <c r="J276">
        <v>0</v>
      </c>
      <c r="K276">
        <v>1</v>
      </c>
    </row>
    <row r="277" spans="1:11">
      <c r="A277">
        <v>14</v>
      </c>
      <c r="B277">
        <v>0</v>
      </c>
      <c r="C277">
        <v>1</v>
      </c>
      <c r="D277">
        <v>15</v>
      </c>
      <c r="E277">
        <v>1</v>
      </c>
      <c r="F277">
        <v>8</v>
      </c>
      <c r="G277">
        <v>35</v>
      </c>
      <c r="H277">
        <v>3</v>
      </c>
      <c r="I277">
        <v>3</v>
      </c>
      <c r="J277">
        <v>0</v>
      </c>
      <c r="K277">
        <v>0</v>
      </c>
    </row>
    <row r="278" spans="1:11">
      <c r="A278">
        <v>12</v>
      </c>
      <c r="B278">
        <v>1</v>
      </c>
      <c r="C278">
        <v>1</v>
      </c>
      <c r="D278">
        <v>12</v>
      </c>
      <c r="E278">
        <v>0</v>
      </c>
      <c r="F278">
        <v>3.56</v>
      </c>
      <c r="G278">
        <v>30</v>
      </c>
      <c r="H278">
        <v>2</v>
      </c>
      <c r="I278">
        <v>3</v>
      </c>
      <c r="J278">
        <v>0</v>
      </c>
      <c r="K278">
        <v>0</v>
      </c>
    </row>
    <row r="279" spans="1:11">
      <c r="A279">
        <v>12</v>
      </c>
      <c r="B279">
        <v>0</v>
      </c>
      <c r="C279">
        <v>1</v>
      </c>
      <c r="D279">
        <v>24</v>
      </c>
      <c r="E279">
        <v>0</v>
      </c>
      <c r="F279">
        <v>5.2</v>
      </c>
      <c r="G279">
        <v>42</v>
      </c>
      <c r="H279">
        <v>3</v>
      </c>
      <c r="I279">
        <v>3</v>
      </c>
      <c r="J279">
        <v>0</v>
      </c>
      <c r="K279">
        <v>1</v>
      </c>
    </row>
    <row r="280" spans="1:11">
      <c r="A280">
        <v>12</v>
      </c>
      <c r="B280">
        <v>0</v>
      </c>
      <c r="C280">
        <v>1</v>
      </c>
      <c r="D280">
        <v>43</v>
      </c>
      <c r="E280">
        <v>0</v>
      </c>
      <c r="F280">
        <v>11.67</v>
      </c>
      <c r="G280">
        <v>61</v>
      </c>
      <c r="H280">
        <v>3</v>
      </c>
      <c r="I280">
        <v>3</v>
      </c>
      <c r="J280">
        <v>2</v>
      </c>
      <c r="K280">
        <v>1</v>
      </c>
    </row>
    <row r="281" spans="1:11">
      <c r="A281">
        <v>12</v>
      </c>
      <c r="B281">
        <v>0</v>
      </c>
      <c r="C281">
        <v>1</v>
      </c>
      <c r="D281">
        <v>13</v>
      </c>
      <c r="E281">
        <v>0</v>
      </c>
      <c r="F281">
        <v>11.32</v>
      </c>
      <c r="G281">
        <v>31</v>
      </c>
      <c r="H281">
        <v>3</v>
      </c>
      <c r="I281">
        <v>3</v>
      </c>
      <c r="J281">
        <v>1</v>
      </c>
      <c r="K281">
        <v>1</v>
      </c>
    </row>
    <row r="282" spans="1:11">
      <c r="A282">
        <v>12</v>
      </c>
      <c r="B282">
        <v>1</v>
      </c>
      <c r="C282">
        <v>1</v>
      </c>
      <c r="D282">
        <v>16</v>
      </c>
      <c r="E282">
        <v>0</v>
      </c>
      <c r="F282">
        <v>7.5</v>
      </c>
      <c r="G282">
        <v>34</v>
      </c>
      <c r="H282">
        <v>3</v>
      </c>
      <c r="I282">
        <v>3</v>
      </c>
      <c r="J282">
        <v>0</v>
      </c>
      <c r="K282">
        <v>1</v>
      </c>
    </row>
    <row r="283" spans="1:11">
      <c r="A283">
        <v>11</v>
      </c>
      <c r="B283">
        <v>0</v>
      </c>
      <c r="C283">
        <v>1</v>
      </c>
      <c r="D283">
        <v>24</v>
      </c>
      <c r="E283">
        <v>0</v>
      </c>
      <c r="F283">
        <v>5.5</v>
      </c>
      <c r="G283">
        <v>41</v>
      </c>
      <c r="H283">
        <v>3</v>
      </c>
      <c r="I283">
        <v>3</v>
      </c>
      <c r="J283">
        <v>0</v>
      </c>
      <c r="K283">
        <v>1</v>
      </c>
    </row>
    <row r="284" spans="1:11">
      <c r="A284">
        <v>16</v>
      </c>
      <c r="B284">
        <v>1</v>
      </c>
      <c r="C284">
        <v>1</v>
      </c>
      <c r="D284">
        <v>4</v>
      </c>
      <c r="E284">
        <v>0</v>
      </c>
      <c r="F284">
        <v>5</v>
      </c>
      <c r="G284">
        <v>26</v>
      </c>
      <c r="H284">
        <v>3</v>
      </c>
      <c r="I284">
        <v>3</v>
      </c>
      <c r="J284">
        <v>0</v>
      </c>
      <c r="K284">
        <v>1</v>
      </c>
    </row>
    <row r="285" spans="1:11">
      <c r="A285">
        <v>12</v>
      </c>
      <c r="B285">
        <v>0</v>
      </c>
      <c r="C285">
        <v>1</v>
      </c>
      <c r="D285">
        <v>24</v>
      </c>
      <c r="E285">
        <v>0</v>
      </c>
      <c r="F285">
        <v>7.75</v>
      </c>
      <c r="G285">
        <v>42</v>
      </c>
      <c r="H285">
        <v>3</v>
      </c>
      <c r="I285">
        <v>3</v>
      </c>
      <c r="J285">
        <v>0</v>
      </c>
      <c r="K285">
        <v>1</v>
      </c>
    </row>
    <row r="286" spans="1:11">
      <c r="A286">
        <v>12</v>
      </c>
      <c r="B286">
        <v>0</v>
      </c>
      <c r="C286">
        <v>1</v>
      </c>
      <c r="D286">
        <v>45</v>
      </c>
      <c r="E286">
        <v>0</v>
      </c>
      <c r="F286">
        <v>5.25</v>
      </c>
      <c r="G286">
        <v>63</v>
      </c>
      <c r="H286">
        <v>3</v>
      </c>
      <c r="I286">
        <v>3</v>
      </c>
      <c r="J286">
        <v>0</v>
      </c>
      <c r="K286">
        <v>1</v>
      </c>
    </row>
    <row r="287" spans="1:11">
      <c r="A287">
        <v>12</v>
      </c>
      <c r="B287">
        <v>0</v>
      </c>
      <c r="C287">
        <v>0</v>
      </c>
      <c r="D287">
        <v>20</v>
      </c>
      <c r="E287">
        <v>1</v>
      </c>
      <c r="F287">
        <v>9</v>
      </c>
      <c r="G287">
        <v>38</v>
      </c>
      <c r="H287">
        <v>3</v>
      </c>
      <c r="I287">
        <v>3</v>
      </c>
      <c r="J287">
        <v>0</v>
      </c>
      <c r="K287">
        <v>1</v>
      </c>
    </row>
    <row r="288" spans="1:11">
      <c r="A288">
        <v>12</v>
      </c>
      <c r="B288">
        <v>0</v>
      </c>
      <c r="C288">
        <v>1</v>
      </c>
      <c r="D288">
        <v>38</v>
      </c>
      <c r="E288">
        <v>0</v>
      </c>
      <c r="F288">
        <v>9.65</v>
      </c>
      <c r="G288">
        <v>56</v>
      </c>
      <c r="H288">
        <v>3</v>
      </c>
      <c r="I288">
        <v>3</v>
      </c>
      <c r="J288">
        <v>0</v>
      </c>
      <c r="K288">
        <v>1</v>
      </c>
    </row>
    <row r="289" spans="1:11">
      <c r="A289">
        <v>18</v>
      </c>
      <c r="B289">
        <v>1</v>
      </c>
      <c r="C289">
        <v>0</v>
      </c>
      <c r="D289">
        <v>10</v>
      </c>
      <c r="E289">
        <v>0</v>
      </c>
      <c r="F289">
        <v>5.21</v>
      </c>
      <c r="G289">
        <v>34</v>
      </c>
      <c r="H289">
        <v>3</v>
      </c>
      <c r="I289">
        <v>3</v>
      </c>
      <c r="J289">
        <v>0</v>
      </c>
      <c r="K289">
        <v>1</v>
      </c>
    </row>
    <row r="290" spans="1:11">
      <c r="A290">
        <v>11</v>
      </c>
      <c r="B290">
        <v>0</v>
      </c>
      <c r="C290">
        <v>1</v>
      </c>
      <c r="D290">
        <v>16</v>
      </c>
      <c r="E290">
        <v>0</v>
      </c>
      <c r="F290">
        <v>7</v>
      </c>
      <c r="G290">
        <v>33</v>
      </c>
      <c r="H290">
        <v>1</v>
      </c>
      <c r="I290">
        <v>3</v>
      </c>
      <c r="J290">
        <v>0</v>
      </c>
      <c r="K290">
        <v>1</v>
      </c>
    </row>
    <row r="291" spans="1:11">
      <c r="A291">
        <v>12</v>
      </c>
      <c r="B291">
        <v>1</v>
      </c>
      <c r="C291">
        <v>1</v>
      </c>
      <c r="D291">
        <v>32</v>
      </c>
      <c r="E291">
        <v>0</v>
      </c>
      <c r="F291">
        <v>12.16</v>
      </c>
      <c r="G291">
        <v>50</v>
      </c>
      <c r="H291">
        <v>1</v>
      </c>
      <c r="I291">
        <v>3</v>
      </c>
      <c r="J291">
        <v>0</v>
      </c>
      <c r="K291">
        <v>1</v>
      </c>
    </row>
    <row r="292" spans="1:11">
      <c r="A292">
        <v>16</v>
      </c>
      <c r="B292">
        <v>1</v>
      </c>
      <c r="C292">
        <v>1</v>
      </c>
      <c r="D292">
        <v>2</v>
      </c>
      <c r="E292">
        <v>0</v>
      </c>
      <c r="F292">
        <v>5.25</v>
      </c>
      <c r="G292">
        <v>24</v>
      </c>
      <c r="H292">
        <v>3</v>
      </c>
      <c r="I292">
        <v>3</v>
      </c>
      <c r="J292">
        <v>0</v>
      </c>
      <c r="K292">
        <v>0</v>
      </c>
    </row>
    <row r="293" spans="1:11">
      <c r="A293">
        <v>13</v>
      </c>
      <c r="B293">
        <v>1</v>
      </c>
      <c r="C293">
        <v>1</v>
      </c>
      <c r="D293">
        <v>28</v>
      </c>
      <c r="E293">
        <v>0</v>
      </c>
      <c r="F293">
        <v>10.32</v>
      </c>
      <c r="G293">
        <v>47</v>
      </c>
      <c r="H293">
        <v>3</v>
      </c>
      <c r="I293">
        <v>3</v>
      </c>
      <c r="J293">
        <v>0</v>
      </c>
      <c r="K293">
        <v>0</v>
      </c>
    </row>
    <row r="294" spans="1:11">
      <c r="A294">
        <v>16</v>
      </c>
      <c r="B294">
        <v>0</v>
      </c>
      <c r="C294">
        <v>0</v>
      </c>
      <c r="D294">
        <v>3</v>
      </c>
      <c r="E294">
        <v>0</v>
      </c>
      <c r="F294">
        <v>3.35</v>
      </c>
      <c r="G294">
        <v>25</v>
      </c>
      <c r="H294">
        <v>1</v>
      </c>
      <c r="I294">
        <v>3</v>
      </c>
      <c r="J294">
        <v>0</v>
      </c>
      <c r="K294">
        <v>0</v>
      </c>
    </row>
    <row r="295" spans="1:11">
      <c r="A295">
        <v>13</v>
      </c>
      <c r="B295">
        <v>0</v>
      </c>
      <c r="C295">
        <v>1</v>
      </c>
      <c r="D295">
        <v>8</v>
      </c>
      <c r="E295">
        <v>1</v>
      </c>
      <c r="F295">
        <v>7.7</v>
      </c>
      <c r="G295">
        <v>27</v>
      </c>
      <c r="H295">
        <v>3</v>
      </c>
      <c r="I295">
        <v>3</v>
      </c>
      <c r="J295">
        <v>0</v>
      </c>
      <c r="K295">
        <v>0</v>
      </c>
    </row>
    <row r="296" spans="1:11">
      <c r="A296">
        <v>12</v>
      </c>
      <c r="B296">
        <v>0</v>
      </c>
      <c r="C296">
        <v>1</v>
      </c>
      <c r="D296">
        <v>44</v>
      </c>
      <c r="E296">
        <v>0</v>
      </c>
      <c r="F296">
        <v>9.17</v>
      </c>
      <c r="G296">
        <v>62</v>
      </c>
      <c r="H296">
        <v>3</v>
      </c>
      <c r="I296">
        <v>3</v>
      </c>
      <c r="J296">
        <v>1</v>
      </c>
      <c r="K296">
        <v>1</v>
      </c>
    </row>
    <row r="297" spans="1:11">
      <c r="A297">
        <v>12</v>
      </c>
      <c r="B297">
        <v>1</v>
      </c>
      <c r="C297">
        <v>0</v>
      </c>
      <c r="D297">
        <v>12</v>
      </c>
      <c r="E297">
        <v>0</v>
      </c>
      <c r="F297">
        <v>8.43</v>
      </c>
      <c r="G297">
        <v>30</v>
      </c>
      <c r="H297">
        <v>3</v>
      </c>
      <c r="I297">
        <v>3</v>
      </c>
      <c r="J297">
        <v>0</v>
      </c>
      <c r="K297">
        <v>1</v>
      </c>
    </row>
    <row r="298" spans="1:11">
      <c r="A298">
        <v>12</v>
      </c>
      <c r="B298">
        <v>1</v>
      </c>
      <c r="C298">
        <v>0</v>
      </c>
      <c r="D298">
        <v>8</v>
      </c>
      <c r="E298">
        <v>0</v>
      </c>
      <c r="F298">
        <v>4</v>
      </c>
      <c r="G298">
        <v>26</v>
      </c>
      <c r="H298">
        <v>1</v>
      </c>
      <c r="I298">
        <v>3</v>
      </c>
      <c r="J298">
        <v>0</v>
      </c>
      <c r="K298">
        <v>1</v>
      </c>
    </row>
    <row r="299" spans="1:11">
      <c r="A299">
        <v>12</v>
      </c>
      <c r="B299">
        <v>0</v>
      </c>
      <c r="C299">
        <v>1</v>
      </c>
      <c r="D299">
        <v>4</v>
      </c>
      <c r="E299">
        <v>0</v>
      </c>
      <c r="F299">
        <v>4.13</v>
      </c>
      <c r="G299">
        <v>22</v>
      </c>
      <c r="H299">
        <v>3</v>
      </c>
      <c r="I299">
        <v>3</v>
      </c>
      <c r="J299">
        <v>0</v>
      </c>
      <c r="K299">
        <v>1</v>
      </c>
    </row>
    <row r="300" spans="1:11">
      <c r="A300">
        <v>12</v>
      </c>
      <c r="B300">
        <v>1</v>
      </c>
      <c r="C300">
        <v>1</v>
      </c>
      <c r="D300">
        <v>28</v>
      </c>
      <c r="E300">
        <v>0</v>
      </c>
      <c r="F300">
        <v>3</v>
      </c>
      <c r="G300">
        <v>46</v>
      </c>
      <c r="H300">
        <v>3</v>
      </c>
      <c r="I300">
        <v>3</v>
      </c>
      <c r="J300">
        <v>0</v>
      </c>
      <c r="K300">
        <v>1</v>
      </c>
    </row>
    <row r="301" spans="1:11">
      <c r="A301">
        <v>13</v>
      </c>
      <c r="B301">
        <v>1</v>
      </c>
      <c r="C301">
        <v>1</v>
      </c>
      <c r="D301">
        <v>0</v>
      </c>
      <c r="E301">
        <v>0</v>
      </c>
      <c r="F301">
        <v>4.25</v>
      </c>
      <c r="G301">
        <v>19</v>
      </c>
      <c r="H301">
        <v>3</v>
      </c>
      <c r="I301">
        <v>3</v>
      </c>
      <c r="J301">
        <v>0</v>
      </c>
      <c r="K301">
        <v>0</v>
      </c>
    </row>
    <row r="302" spans="1:11">
      <c r="A302">
        <v>14</v>
      </c>
      <c r="B302">
        <v>1</v>
      </c>
      <c r="C302">
        <v>0</v>
      </c>
      <c r="D302">
        <v>1</v>
      </c>
      <c r="E302">
        <v>0</v>
      </c>
      <c r="F302">
        <v>7.53</v>
      </c>
      <c r="G302">
        <v>21</v>
      </c>
      <c r="H302">
        <v>3</v>
      </c>
      <c r="I302">
        <v>3</v>
      </c>
      <c r="J302">
        <v>0</v>
      </c>
      <c r="K302">
        <v>0</v>
      </c>
    </row>
    <row r="303" spans="1:11">
      <c r="A303">
        <v>14</v>
      </c>
      <c r="B303">
        <v>0</v>
      </c>
      <c r="C303">
        <v>1</v>
      </c>
      <c r="D303">
        <v>12</v>
      </c>
      <c r="E303">
        <v>0</v>
      </c>
      <c r="F303">
        <v>10.53</v>
      </c>
      <c r="G303">
        <v>32</v>
      </c>
      <c r="H303">
        <v>3</v>
      </c>
      <c r="I303">
        <v>3</v>
      </c>
      <c r="J303">
        <v>1</v>
      </c>
      <c r="K303">
        <v>1</v>
      </c>
    </row>
    <row r="304" spans="1:11">
      <c r="A304">
        <v>12</v>
      </c>
      <c r="B304">
        <v>0</v>
      </c>
      <c r="C304">
        <v>1</v>
      </c>
      <c r="D304">
        <v>39</v>
      </c>
      <c r="E304">
        <v>0</v>
      </c>
      <c r="F304">
        <v>5</v>
      </c>
      <c r="G304">
        <v>57</v>
      </c>
      <c r="H304">
        <v>3</v>
      </c>
      <c r="I304">
        <v>3</v>
      </c>
      <c r="J304">
        <v>0</v>
      </c>
      <c r="K304">
        <v>1</v>
      </c>
    </row>
    <row r="305" spans="1:11">
      <c r="A305">
        <v>12</v>
      </c>
      <c r="B305">
        <v>0</v>
      </c>
      <c r="C305">
        <v>1</v>
      </c>
      <c r="D305">
        <v>24</v>
      </c>
      <c r="E305">
        <v>0</v>
      </c>
      <c r="F305">
        <v>15.03</v>
      </c>
      <c r="G305">
        <v>42</v>
      </c>
      <c r="H305">
        <v>3</v>
      </c>
      <c r="I305">
        <v>3</v>
      </c>
      <c r="J305">
        <v>0</v>
      </c>
      <c r="K305">
        <v>1</v>
      </c>
    </row>
    <row r="306" spans="1:11">
      <c r="A306">
        <v>17</v>
      </c>
      <c r="B306">
        <v>0</v>
      </c>
      <c r="C306">
        <v>1</v>
      </c>
      <c r="D306">
        <v>32</v>
      </c>
      <c r="E306">
        <v>0</v>
      </c>
      <c r="F306">
        <v>11.25</v>
      </c>
      <c r="G306">
        <v>55</v>
      </c>
      <c r="H306">
        <v>1</v>
      </c>
      <c r="I306">
        <v>3</v>
      </c>
      <c r="J306">
        <v>0</v>
      </c>
      <c r="K306">
        <v>1</v>
      </c>
    </row>
    <row r="307" spans="1:11">
      <c r="A307">
        <v>16</v>
      </c>
      <c r="B307">
        <v>0</v>
      </c>
      <c r="C307">
        <v>0</v>
      </c>
      <c r="D307">
        <v>4</v>
      </c>
      <c r="E307">
        <v>0</v>
      </c>
      <c r="F307">
        <v>6.25</v>
      </c>
      <c r="G307">
        <v>26</v>
      </c>
      <c r="H307">
        <v>1</v>
      </c>
      <c r="I307">
        <v>3</v>
      </c>
      <c r="J307">
        <v>0</v>
      </c>
      <c r="K307">
        <v>0</v>
      </c>
    </row>
    <row r="308" spans="1:11">
      <c r="A308">
        <v>12</v>
      </c>
      <c r="B308">
        <v>0</v>
      </c>
      <c r="C308">
        <v>1</v>
      </c>
      <c r="D308">
        <v>25</v>
      </c>
      <c r="E308">
        <v>0</v>
      </c>
      <c r="F308">
        <v>3.5</v>
      </c>
      <c r="G308">
        <v>43</v>
      </c>
      <c r="H308">
        <v>1</v>
      </c>
      <c r="I308">
        <v>3</v>
      </c>
      <c r="J308">
        <v>0</v>
      </c>
      <c r="K308">
        <v>0</v>
      </c>
    </row>
    <row r="309" spans="1:11">
      <c r="A309">
        <v>12</v>
      </c>
      <c r="B309">
        <v>0</v>
      </c>
      <c r="C309">
        <v>0</v>
      </c>
      <c r="D309">
        <v>8</v>
      </c>
      <c r="E309">
        <v>0</v>
      </c>
      <c r="F309">
        <v>6.85</v>
      </c>
      <c r="G309">
        <v>26</v>
      </c>
      <c r="H309">
        <v>1</v>
      </c>
      <c r="I309">
        <v>3</v>
      </c>
      <c r="J309">
        <v>0</v>
      </c>
      <c r="K309">
        <v>0</v>
      </c>
    </row>
    <row r="310" spans="1:11">
      <c r="A310">
        <v>13</v>
      </c>
      <c r="B310">
        <v>0</v>
      </c>
      <c r="C310">
        <v>1</v>
      </c>
      <c r="D310">
        <v>16</v>
      </c>
      <c r="E310">
        <v>0</v>
      </c>
      <c r="F310">
        <v>12.5</v>
      </c>
      <c r="G310">
        <v>35</v>
      </c>
      <c r="H310">
        <v>3</v>
      </c>
      <c r="I310">
        <v>3</v>
      </c>
      <c r="J310">
        <v>0</v>
      </c>
      <c r="K310">
        <v>1</v>
      </c>
    </row>
    <row r="311" spans="1:11">
      <c r="A311">
        <v>12</v>
      </c>
      <c r="B311">
        <v>1</v>
      </c>
      <c r="C311">
        <v>0</v>
      </c>
      <c r="D311">
        <v>5</v>
      </c>
      <c r="E311">
        <v>0</v>
      </c>
      <c r="F311">
        <v>12</v>
      </c>
      <c r="G311">
        <v>23</v>
      </c>
      <c r="H311">
        <v>3</v>
      </c>
      <c r="I311">
        <v>3</v>
      </c>
      <c r="J311">
        <v>0</v>
      </c>
      <c r="K311">
        <v>0</v>
      </c>
    </row>
    <row r="312" spans="1:11">
      <c r="A312">
        <v>13</v>
      </c>
      <c r="B312">
        <v>0</v>
      </c>
      <c r="C312">
        <v>0</v>
      </c>
      <c r="D312">
        <v>31</v>
      </c>
      <c r="E312">
        <v>0</v>
      </c>
      <c r="F312">
        <v>6</v>
      </c>
      <c r="G312">
        <v>50</v>
      </c>
      <c r="H312">
        <v>3</v>
      </c>
      <c r="I312">
        <v>3</v>
      </c>
      <c r="J312">
        <v>0</v>
      </c>
      <c r="K312">
        <v>0</v>
      </c>
    </row>
    <row r="313" spans="1:11">
      <c r="A313">
        <v>12</v>
      </c>
      <c r="B313">
        <v>0</v>
      </c>
      <c r="C313">
        <v>1</v>
      </c>
      <c r="D313">
        <v>25</v>
      </c>
      <c r="E313">
        <v>0</v>
      </c>
      <c r="F313">
        <v>9.5</v>
      </c>
      <c r="G313">
        <v>43</v>
      </c>
      <c r="H313">
        <v>3</v>
      </c>
      <c r="I313">
        <v>3</v>
      </c>
      <c r="J313">
        <v>0</v>
      </c>
      <c r="K313">
        <v>0</v>
      </c>
    </row>
    <row r="314" spans="1:11">
      <c r="A314">
        <v>12</v>
      </c>
      <c r="B314">
        <v>0</v>
      </c>
      <c r="C314">
        <v>1</v>
      </c>
      <c r="D314">
        <v>15</v>
      </c>
      <c r="E314">
        <v>0</v>
      </c>
      <c r="F314">
        <v>4.0999999999999996</v>
      </c>
      <c r="G314">
        <v>33</v>
      </c>
      <c r="H314">
        <v>3</v>
      </c>
      <c r="I314">
        <v>3</v>
      </c>
      <c r="J314">
        <v>0</v>
      </c>
      <c r="K314">
        <v>1</v>
      </c>
    </row>
    <row r="315" spans="1:11">
      <c r="A315">
        <v>14</v>
      </c>
      <c r="B315">
        <v>1</v>
      </c>
      <c r="C315">
        <v>1</v>
      </c>
      <c r="D315">
        <v>15</v>
      </c>
      <c r="E315">
        <v>0</v>
      </c>
      <c r="F315">
        <v>10.43</v>
      </c>
      <c r="G315">
        <v>35</v>
      </c>
      <c r="H315">
        <v>3</v>
      </c>
      <c r="I315">
        <v>3</v>
      </c>
      <c r="J315">
        <v>0</v>
      </c>
      <c r="K315">
        <v>1</v>
      </c>
    </row>
    <row r="316" spans="1:11">
      <c r="A316">
        <v>12</v>
      </c>
      <c r="B316">
        <v>0</v>
      </c>
      <c r="C316">
        <v>1</v>
      </c>
      <c r="D316">
        <v>0</v>
      </c>
      <c r="E316">
        <v>0</v>
      </c>
      <c r="F316">
        <v>5</v>
      </c>
      <c r="G316">
        <v>18</v>
      </c>
      <c r="H316">
        <v>3</v>
      </c>
      <c r="I316">
        <v>3</v>
      </c>
      <c r="J316">
        <v>0</v>
      </c>
      <c r="K316">
        <v>0</v>
      </c>
    </row>
    <row r="317" spans="1:11">
      <c r="A317">
        <v>12</v>
      </c>
      <c r="B317">
        <v>0</v>
      </c>
      <c r="C317">
        <v>0</v>
      </c>
      <c r="D317">
        <v>19</v>
      </c>
      <c r="E317">
        <v>0</v>
      </c>
      <c r="F317">
        <v>7.69</v>
      </c>
      <c r="G317">
        <v>37</v>
      </c>
      <c r="H317">
        <v>3</v>
      </c>
      <c r="I317">
        <v>3</v>
      </c>
      <c r="J317">
        <v>0</v>
      </c>
      <c r="K317">
        <v>1</v>
      </c>
    </row>
    <row r="318" spans="1:11">
      <c r="A318">
        <v>12</v>
      </c>
      <c r="B318">
        <v>0</v>
      </c>
      <c r="C318">
        <v>1</v>
      </c>
      <c r="D318">
        <v>21</v>
      </c>
      <c r="E318">
        <v>0</v>
      </c>
      <c r="F318">
        <v>5.5</v>
      </c>
      <c r="G318">
        <v>39</v>
      </c>
      <c r="H318">
        <v>1</v>
      </c>
      <c r="I318">
        <v>3</v>
      </c>
      <c r="J318">
        <v>0</v>
      </c>
      <c r="K318">
        <v>0</v>
      </c>
    </row>
    <row r="319" spans="1:11">
      <c r="A319">
        <v>12</v>
      </c>
      <c r="B319">
        <v>0</v>
      </c>
      <c r="C319">
        <v>1</v>
      </c>
      <c r="D319">
        <v>6</v>
      </c>
      <c r="E319">
        <v>0</v>
      </c>
      <c r="F319">
        <v>6.4</v>
      </c>
      <c r="G319">
        <v>24</v>
      </c>
      <c r="H319">
        <v>3</v>
      </c>
      <c r="I319">
        <v>3</v>
      </c>
      <c r="J319">
        <v>0</v>
      </c>
      <c r="K319">
        <v>0</v>
      </c>
    </row>
    <row r="320" spans="1:11">
      <c r="A320">
        <v>12</v>
      </c>
      <c r="B320">
        <v>0</v>
      </c>
      <c r="C320">
        <v>1</v>
      </c>
      <c r="D320">
        <v>14</v>
      </c>
      <c r="E320">
        <v>1</v>
      </c>
      <c r="F320">
        <v>12.5</v>
      </c>
      <c r="G320">
        <v>32</v>
      </c>
      <c r="H320">
        <v>3</v>
      </c>
      <c r="I320">
        <v>3</v>
      </c>
      <c r="J320">
        <v>0</v>
      </c>
      <c r="K320">
        <v>1</v>
      </c>
    </row>
    <row r="321" spans="1:11">
      <c r="A321">
        <v>13</v>
      </c>
      <c r="B321">
        <v>0</v>
      </c>
      <c r="C321">
        <v>1</v>
      </c>
      <c r="D321">
        <v>30</v>
      </c>
      <c r="E321">
        <v>0</v>
      </c>
      <c r="F321">
        <v>6.25</v>
      </c>
      <c r="G321">
        <v>49</v>
      </c>
      <c r="H321">
        <v>3</v>
      </c>
      <c r="I321">
        <v>3</v>
      </c>
      <c r="J321">
        <v>0</v>
      </c>
      <c r="K321">
        <v>1</v>
      </c>
    </row>
    <row r="322" spans="1:11">
      <c r="A322">
        <v>12</v>
      </c>
      <c r="B322">
        <v>0</v>
      </c>
      <c r="C322">
        <v>1</v>
      </c>
      <c r="D322">
        <v>8</v>
      </c>
      <c r="E322">
        <v>0</v>
      </c>
      <c r="F322">
        <v>8</v>
      </c>
      <c r="G322">
        <v>26</v>
      </c>
      <c r="H322">
        <v>3</v>
      </c>
      <c r="I322">
        <v>3</v>
      </c>
      <c r="J322">
        <v>0</v>
      </c>
      <c r="K322">
        <v>0</v>
      </c>
    </row>
    <row r="323" spans="1:11">
      <c r="A323">
        <v>9</v>
      </c>
      <c r="B323">
        <v>0</v>
      </c>
      <c r="C323">
        <v>0</v>
      </c>
      <c r="D323">
        <v>33</v>
      </c>
      <c r="E323">
        <v>1</v>
      </c>
      <c r="F323">
        <v>9.6</v>
      </c>
      <c r="G323">
        <v>48</v>
      </c>
      <c r="H323">
        <v>3</v>
      </c>
      <c r="I323">
        <v>3</v>
      </c>
      <c r="J323">
        <v>0</v>
      </c>
      <c r="K323">
        <v>0</v>
      </c>
    </row>
    <row r="324" spans="1:11">
      <c r="A324">
        <v>13</v>
      </c>
      <c r="B324">
        <v>0</v>
      </c>
      <c r="C324">
        <v>0</v>
      </c>
      <c r="D324">
        <v>16</v>
      </c>
      <c r="E324">
        <v>0</v>
      </c>
      <c r="F324">
        <v>9.1</v>
      </c>
      <c r="G324">
        <v>35</v>
      </c>
      <c r="H324">
        <v>2</v>
      </c>
      <c r="I324">
        <v>3</v>
      </c>
      <c r="J324">
        <v>0</v>
      </c>
      <c r="K324">
        <v>0</v>
      </c>
    </row>
    <row r="325" spans="1:11">
      <c r="A325">
        <v>12</v>
      </c>
      <c r="B325">
        <v>1</v>
      </c>
      <c r="C325">
        <v>1</v>
      </c>
      <c r="D325">
        <v>20</v>
      </c>
      <c r="E325">
        <v>0</v>
      </c>
      <c r="F325">
        <v>7.5</v>
      </c>
      <c r="G325">
        <v>38</v>
      </c>
      <c r="H325">
        <v>3</v>
      </c>
      <c r="I325">
        <v>3</v>
      </c>
      <c r="J325">
        <v>0</v>
      </c>
      <c r="K325">
        <v>0</v>
      </c>
    </row>
    <row r="326" spans="1:11">
      <c r="A326">
        <v>13</v>
      </c>
      <c r="B326">
        <v>1</v>
      </c>
      <c r="C326">
        <v>1</v>
      </c>
      <c r="D326">
        <v>6</v>
      </c>
      <c r="E326">
        <v>0</v>
      </c>
      <c r="F326">
        <v>5</v>
      </c>
      <c r="G326">
        <v>25</v>
      </c>
      <c r="H326">
        <v>3</v>
      </c>
      <c r="I326">
        <v>3</v>
      </c>
      <c r="J326">
        <v>0</v>
      </c>
      <c r="K326">
        <v>1</v>
      </c>
    </row>
    <row r="327" spans="1:11">
      <c r="A327">
        <v>12</v>
      </c>
      <c r="B327">
        <v>0</v>
      </c>
      <c r="C327">
        <v>1</v>
      </c>
      <c r="D327">
        <v>10</v>
      </c>
      <c r="E327">
        <v>1</v>
      </c>
      <c r="F327">
        <v>7</v>
      </c>
      <c r="G327">
        <v>28</v>
      </c>
      <c r="H327">
        <v>3</v>
      </c>
      <c r="I327">
        <v>3</v>
      </c>
      <c r="J327">
        <v>0</v>
      </c>
      <c r="K327">
        <v>1</v>
      </c>
    </row>
    <row r="328" spans="1:11">
      <c r="A328">
        <v>13</v>
      </c>
      <c r="B328">
        <v>1</v>
      </c>
      <c r="C328">
        <v>1</v>
      </c>
      <c r="D328">
        <v>1</v>
      </c>
      <c r="E328">
        <v>0</v>
      </c>
      <c r="F328">
        <v>3.55</v>
      </c>
      <c r="G328">
        <v>20</v>
      </c>
      <c r="H328">
        <v>3</v>
      </c>
      <c r="I328">
        <v>3</v>
      </c>
      <c r="J328">
        <v>0</v>
      </c>
      <c r="K328">
        <v>0</v>
      </c>
    </row>
    <row r="329" spans="1:11">
      <c r="A329">
        <v>12</v>
      </c>
      <c r="B329">
        <v>1</v>
      </c>
      <c r="C329">
        <v>0</v>
      </c>
      <c r="D329">
        <v>2</v>
      </c>
      <c r="E329">
        <v>0</v>
      </c>
      <c r="F329">
        <v>8.5</v>
      </c>
      <c r="G329">
        <v>20</v>
      </c>
      <c r="H329">
        <v>1</v>
      </c>
      <c r="I329">
        <v>3</v>
      </c>
      <c r="J329">
        <v>0</v>
      </c>
      <c r="K329">
        <v>0</v>
      </c>
    </row>
    <row r="330" spans="1:11">
      <c r="A330">
        <v>13</v>
      </c>
      <c r="B330">
        <v>1</v>
      </c>
      <c r="C330">
        <v>1</v>
      </c>
      <c r="D330">
        <v>0</v>
      </c>
      <c r="E330">
        <v>0</v>
      </c>
      <c r="F330">
        <v>4.5</v>
      </c>
      <c r="G330">
        <v>19</v>
      </c>
      <c r="H330">
        <v>3</v>
      </c>
      <c r="I330">
        <v>3</v>
      </c>
      <c r="J330">
        <v>0</v>
      </c>
      <c r="K330">
        <v>0</v>
      </c>
    </row>
    <row r="331" spans="1:11">
      <c r="A331">
        <v>16</v>
      </c>
      <c r="B331">
        <v>0</v>
      </c>
      <c r="C331">
        <v>0</v>
      </c>
      <c r="D331">
        <v>17</v>
      </c>
      <c r="E331">
        <v>0</v>
      </c>
      <c r="F331">
        <v>7.88</v>
      </c>
      <c r="G331">
        <v>39</v>
      </c>
      <c r="H331">
        <v>1</v>
      </c>
      <c r="I331">
        <v>3</v>
      </c>
      <c r="J331">
        <v>0</v>
      </c>
      <c r="K331">
        <v>1</v>
      </c>
    </row>
    <row r="332" spans="1:11">
      <c r="A332">
        <v>12</v>
      </c>
      <c r="B332">
        <v>0</v>
      </c>
      <c r="C332">
        <v>1</v>
      </c>
      <c r="D332">
        <v>8</v>
      </c>
      <c r="E332">
        <v>0</v>
      </c>
      <c r="F332">
        <v>5.25</v>
      </c>
      <c r="G332">
        <v>26</v>
      </c>
      <c r="H332">
        <v>3</v>
      </c>
      <c r="I332">
        <v>3</v>
      </c>
      <c r="J332">
        <v>0</v>
      </c>
      <c r="K332">
        <v>0</v>
      </c>
    </row>
    <row r="333" spans="1:11">
      <c r="A333">
        <v>12</v>
      </c>
      <c r="B333">
        <v>1</v>
      </c>
      <c r="C333">
        <v>0</v>
      </c>
      <c r="D333">
        <v>4</v>
      </c>
      <c r="E333">
        <v>0</v>
      </c>
      <c r="F333">
        <v>5</v>
      </c>
      <c r="G333">
        <v>22</v>
      </c>
      <c r="H333">
        <v>3</v>
      </c>
      <c r="I333">
        <v>3</v>
      </c>
      <c r="J333">
        <v>0</v>
      </c>
      <c r="K333">
        <v>0</v>
      </c>
    </row>
    <row r="334" spans="1:11">
      <c r="A334">
        <v>12</v>
      </c>
      <c r="B334">
        <v>0</v>
      </c>
      <c r="C334">
        <v>1</v>
      </c>
      <c r="D334">
        <v>15</v>
      </c>
      <c r="E334">
        <v>0</v>
      </c>
      <c r="F334">
        <v>9.33</v>
      </c>
      <c r="G334">
        <v>33</v>
      </c>
      <c r="H334">
        <v>3</v>
      </c>
      <c r="I334">
        <v>3</v>
      </c>
      <c r="J334">
        <v>0</v>
      </c>
      <c r="K334">
        <v>0</v>
      </c>
    </row>
    <row r="335" spans="1:11">
      <c r="A335">
        <v>12</v>
      </c>
      <c r="B335">
        <v>0</v>
      </c>
      <c r="C335">
        <v>1</v>
      </c>
      <c r="D335">
        <v>29</v>
      </c>
      <c r="E335">
        <v>0</v>
      </c>
      <c r="F335">
        <v>10.5</v>
      </c>
      <c r="G335">
        <v>47</v>
      </c>
      <c r="H335">
        <v>3</v>
      </c>
      <c r="I335">
        <v>3</v>
      </c>
      <c r="J335">
        <v>0</v>
      </c>
      <c r="K335">
        <v>1</v>
      </c>
    </row>
    <row r="336" spans="1:11">
      <c r="A336">
        <v>12</v>
      </c>
      <c r="B336">
        <v>1</v>
      </c>
      <c r="C336">
        <v>1</v>
      </c>
      <c r="D336">
        <v>23</v>
      </c>
      <c r="E336">
        <v>0</v>
      </c>
      <c r="F336">
        <v>7.5</v>
      </c>
      <c r="G336">
        <v>41</v>
      </c>
      <c r="H336">
        <v>1</v>
      </c>
      <c r="I336">
        <v>3</v>
      </c>
      <c r="J336">
        <v>0</v>
      </c>
      <c r="K336">
        <v>1</v>
      </c>
    </row>
    <row r="337" spans="1:11">
      <c r="A337">
        <v>12</v>
      </c>
      <c r="B337">
        <v>1</v>
      </c>
      <c r="C337">
        <v>1</v>
      </c>
      <c r="D337">
        <v>39</v>
      </c>
      <c r="E337">
        <v>0</v>
      </c>
      <c r="F337">
        <v>9.5</v>
      </c>
      <c r="G337">
        <v>57</v>
      </c>
      <c r="H337">
        <v>3</v>
      </c>
      <c r="I337">
        <v>3</v>
      </c>
      <c r="J337">
        <v>0</v>
      </c>
      <c r="K337">
        <v>1</v>
      </c>
    </row>
    <row r="338" spans="1:11">
      <c r="A338">
        <v>12</v>
      </c>
      <c r="B338">
        <v>1</v>
      </c>
      <c r="C338">
        <v>1</v>
      </c>
      <c r="D338">
        <v>14</v>
      </c>
      <c r="E338">
        <v>0</v>
      </c>
      <c r="F338">
        <v>9.6</v>
      </c>
      <c r="G338">
        <v>32</v>
      </c>
      <c r="H338">
        <v>3</v>
      </c>
      <c r="I338">
        <v>3</v>
      </c>
      <c r="J338">
        <v>0</v>
      </c>
      <c r="K338">
        <v>1</v>
      </c>
    </row>
    <row r="339" spans="1:11">
      <c r="A339">
        <v>17</v>
      </c>
      <c r="B339">
        <v>1</v>
      </c>
      <c r="C339">
        <v>1</v>
      </c>
      <c r="D339">
        <v>6</v>
      </c>
      <c r="E339">
        <v>0</v>
      </c>
      <c r="F339">
        <v>5.87</v>
      </c>
      <c r="G339">
        <v>29</v>
      </c>
      <c r="H339">
        <v>1</v>
      </c>
      <c r="I339">
        <v>3</v>
      </c>
      <c r="J339">
        <v>0</v>
      </c>
      <c r="K339">
        <v>0</v>
      </c>
    </row>
    <row r="340" spans="1:11">
      <c r="A340">
        <v>14</v>
      </c>
      <c r="B340">
        <v>1</v>
      </c>
      <c r="C340">
        <v>0</v>
      </c>
      <c r="D340">
        <v>12</v>
      </c>
      <c r="E340">
        <v>1</v>
      </c>
      <c r="F340">
        <v>11.02</v>
      </c>
      <c r="G340">
        <v>32</v>
      </c>
      <c r="H340">
        <v>3</v>
      </c>
      <c r="I340">
        <v>3</v>
      </c>
      <c r="J340">
        <v>0</v>
      </c>
      <c r="K340">
        <v>1</v>
      </c>
    </row>
    <row r="341" spans="1:11">
      <c r="A341">
        <v>12</v>
      </c>
      <c r="B341">
        <v>1</v>
      </c>
      <c r="C341">
        <v>1</v>
      </c>
      <c r="D341">
        <v>26</v>
      </c>
      <c r="E341">
        <v>0</v>
      </c>
      <c r="F341">
        <v>5</v>
      </c>
      <c r="G341">
        <v>44</v>
      </c>
      <c r="H341">
        <v>3</v>
      </c>
      <c r="I341">
        <v>3</v>
      </c>
      <c r="J341">
        <v>0</v>
      </c>
      <c r="K341">
        <v>0</v>
      </c>
    </row>
    <row r="342" spans="1:11">
      <c r="A342">
        <v>14</v>
      </c>
      <c r="B342">
        <v>0</v>
      </c>
      <c r="C342">
        <v>1</v>
      </c>
      <c r="D342">
        <v>32</v>
      </c>
      <c r="E342">
        <v>0</v>
      </c>
      <c r="F342">
        <v>5.62</v>
      </c>
      <c r="G342">
        <v>52</v>
      </c>
      <c r="H342">
        <v>3</v>
      </c>
      <c r="I342">
        <v>3</v>
      </c>
      <c r="J342">
        <v>0</v>
      </c>
      <c r="K342">
        <v>1</v>
      </c>
    </row>
    <row r="343" spans="1:11">
      <c r="A343">
        <v>15</v>
      </c>
      <c r="B343">
        <v>0</v>
      </c>
      <c r="C343">
        <v>1</v>
      </c>
      <c r="D343">
        <v>6</v>
      </c>
      <c r="E343">
        <v>0</v>
      </c>
      <c r="F343">
        <v>12.5</v>
      </c>
      <c r="G343">
        <v>27</v>
      </c>
      <c r="H343">
        <v>3</v>
      </c>
      <c r="I343">
        <v>3</v>
      </c>
      <c r="J343">
        <v>0</v>
      </c>
      <c r="K343">
        <v>1</v>
      </c>
    </row>
    <row r="344" spans="1:11">
      <c r="A344">
        <v>12</v>
      </c>
      <c r="B344">
        <v>0</v>
      </c>
      <c r="C344">
        <v>1</v>
      </c>
      <c r="D344">
        <v>40</v>
      </c>
      <c r="E344">
        <v>0</v>
      </c>
      <c r="F344">
        <v>10.81</v>
      </c>
      <c r="G344">
        <v>58</v>
      </c>
      <c r="H344">
        <v>3</v>
      </c>
      <c r="I344">
        <v>3</v>
      </c>
      <c r="J344">
        <v>0</v>
      </c>
      <c r="K344">
        <v>1</v>
      </c>
    </row>
    <row r="345" spans="1:11">
      <c r="A345">
        <v>12</v>
      </c>
      <c r="B345">
        <v>0</v>
      </c>
      <c r="C345">
        <v>1</v>
      </c>
      <c r="D345">
        <v>18</v>
      </c>
      <c r="E345">
        <v>0</v>
      </c>
      <c r="F345">
        <v>5.4</v>
      </c>
      <c r="G345">
        <v>36</v>
      </c>
      <c r="H345">
        <v>3</v>
      </c>
      <c r="I345">
        <v>3</v>
      </c>
      <c r="J345">
        <v>1</v>
      </c>
      <c r="K345">
        <v>1</v>
      </c>
    </row>
    <row r="346" spans="1:11">
      <c r="A346">
        <v>11</v>
      </c>
      <c r="B346">
        <v>0</v>
      </c>
      <c r="C346">
        <v>1</v>
      </c>
      <c r="D346">
        <v>12</v>
      </c>
      <c r="E346">
        <v>0</v>
      </c>
      <c r="F346">
        <v>7</v>
      </c>
      <c r="G346">
        <v>29</v>
      </c>
      <c r="H346">
        <v>3</v>
      </c>
      <c r="I346">
        <v>3</v>
      </c>
      <c r="J346">
        <v>0</v>
      </c>
      <c r="K346">
        <v>0</v>
      </c>
    </row>
    <row r="347" spans="1:11">
      <c r="A347">
        <v>12</v>
      </c>
      <c r="B347">
        <v>1</v>
      </c>
      <c r="C347">
        <v>1</v>
      </c>
      <c r="D347">
        <v>36</v>
      </c>
      <c r="E347">
        <v>0</v>
      </c>
      <c r="F347">
        <v>4.59</v>
      </c>
      <c r="G347">
        <v>54</v>
      </c>
      <c r="H347">
        <v>3</v>
      </c>
      <c r="I347">
        <v>3</v>
      </c>
      <c r="J347">
        <v>2</v>
      </c>
      <c r="K347">
        <v>1</v>
      </c>
    </row>
    <row r="348" spans="1:11">
      <c r="A348">
        <v>12</v>
      </c>
      <c r="B348">
        <v>0</v>
      </c>
      <c r="C348">
        <v>1</v>
      </c>
      <c r="D348">
        <v>19</v>
      </c>
      <c r="E348">
        <v>0</v>
      </c>
      <c r="F348">
        <v>6</v>
      </c>
      <c r="G348">
        <v>37</v>
      </c>
      <c r="H348">
        <v>3</v>
      </c>
      <c r="I348">
        <v>3</v>
      </c>
      <c r="J348">
        <v>0</v>
      </c>
      <c r="K348">
        <v>1</v>
      </c>
    </row>
    <row r="349" spans="1:11">
      <c r="A349">
        <v>16</v>
      </c>
      <c r="B349">
        <v>0</v>
      </c>
      <c r="C349">
        <v>1</v>
      </c>
      <c r="D349">
        <v>42</v>
      </c>
      <c r="E349">
        <v>0</v>
      </c>
      <c r="F349">
        <v>11.71</v>
      </c>
      <c r="G349">
        <v>64</v>
      </c>
      <c r="H349">
        <v>3</v>
      </c>
      <c r="I349">
        <v>3</v>
      </c>
      <c r="J349">
        <v>1</v>
      </c>
      <c r="K349">
        <v>0</v>
      </c>
    </row>
    <row r="350" spans="1:11">
      <c r="A350">
        <v>13</v>
      </c>
      <c r="B350">
        <v>0</v>
      </c>
      <c r="C350">
        <v>1</v>
      </c>
      <c r="D350">
        <v>2</v>
      </c>
      <c r="E350">
        <v>0</v>
      </c>
      <c r="F350">
        <v>5.62</v>
      </c>
      <c r="G350">
        <v>21</v>
      </c>
      <c r="H350">
        <v>2</v>
      </c>
      <c r="I350">
        <v>3</v>
      </c>
      <c r="J350">
        <v>0</v>
      </c>
      <c r="K350">
        <v>1</v>
      </c>
    </row>
    <row r="351" spans="1:11">
      <c r="A351">
        <v>12</v>
      </c>
      <c r="B351">
        <v>0</v>
      </c>
      <c r="C351">
        <v>1</v>
      </c>
      <c r="D351">
        <v>33</v>
      </c>
      <c r="E351">
        <v>0</v>
      </c>
      <c r="F351">
        <v>5.5</v>
      </c>
      <c r="G351">
        <v>51</v>
      </c>
      <c r="H351">
        <v>3</v>
      </c>
      <c r="I351">
        <v>3</v>
      </c>
      <c r="J351">
        <v>0</v>
      </c>
      <c r="K351">
        <v>1</v>
      </c>
    </row>
    <row r="352" spans="1:11">
      <c r="A352">
        <v>12</v>
      </c>
      <c r="B352">
        <v>1</v>
      </c>
      <c r="C352">
        <v>1</v>
      </c>
      <c r="D352">
        <v>14</v>
      </c>
      <c r="E352">
        <v>0</v>
      </c>
      <c r="F352">
        <v>4.8499999999999996</v>
      </c>
      <c r="G352">
        <v>32</v>
      </c>
      <c r="H352">
        <v>3</v>
      </c>
      <c r="I352">
        <v>3</v>
      </c>
      <c r="J352">
        <v>0</v>
      </c>
      <c r="K352">
        <v>1</v>
      </c>
    </row>
    <row r="353" spans="1:11">
      <c r="A353">
        <v>12</v>
      </c>
      <c r="B353">
        <v>0</v>
      </c>
      <c r="C353">
        <v>0</v>
      </c>
      <c r="D353">
        <v>22</v>
      </c>
      <c r="E353">
        <v>0</v>
      </c>
      <c r="F353">
        <v>6.75</v>
      </c>
      <c r="G353">
        <v>40</v>
      </c>
      <c r="H353">
        <v>3</v>
      </c>
      <c r="I353">
        <v>3</v>
      </c>
      <c r="J353">
        <v>0</v>
      </c>
      <c r="K353">
        <v>0</v>
      </c>
    </row>
    <row r="354" spans="1:11">
      <c r="A354">
        <v>12</v>
      </c>
      <c r="B354">
        <v>0</v>
      </c>
      <c r="C354">
        <v>1</v>
      </c>
      <c r="D354">
        <v>20</v>
      </c>
      <c r="E354">
        <v>0</v>
      </c>
      <c r="F354">
        <v>4.25</v>
      </c>
      <c r="G354">
        <v>38</v>
      </c>
      <c r="H354">
        <v>3</v>
      </c>
      <c r="I354">
        <v>3</v>
      </c>
      <c r="J354">
        <v>0</v>
      </c>
      <c r="K354">
        <v>1</v>
      </c>
    </row>
    <row r="355" spans="1:11">
      <c r="A355">
        <v>12</v>
      </c>
      <c r="B355">
        <v>0</v>
      </c>
      <c r="C355">
        <v>1</v>
      </c>
      <c r="D355">
        <v>15</v>
      </c>
      <c r="E355">
        <v>0</v>
      </c>
      <c r="F355">
        <v>5.75</v>
      </c>
      <c r="G355">
        <v>33</v>
      </c>
      <c r="H355">
        <v>3</v>
      </c>
      <c r="I355">
        <v>3</v>
      </c>
      <c r="J355">
        <v>0</v>
      </c>
      <c r="K355">
        <v>1</v>
      </c>
    </row>
    <row r="356" spans="1:11">
      <c r="A356">
        <v>12</v>
      </c>
      <c r="B356">
        <v>0</v>
      </c>
      <c r="C356">
        <v>0</v>
      </c>
      <c r="D356">
        <v>35</v>
      </c>
      <c r="E356">
        <v>0</v>
      </c>
      <c r="F356">
        <v>3.5</v>
      </c>
      <c r="G356">
        <v>53</v>
      </c>
      <c r="H356">
        <v>3</v>
      </c>
      <c r="I356">
        <v>3</v>
      </c>
      <c r="J356">
        <v>0</v>
      </c>
      <c r="K356">
        <v>1</v>
      </c>
    </row>
    <row r="357" spans="1:11">
      <c r="A357">
        <v>12</v>
      </c>
      <c r="B357">
        <v>0</v>
      </c>
      <c r="C357">
        <v>1</v>
      </c>
      <c r="D357">
        <v>7</v>
      </c>
      <c r="E357">
        <v>0</v>
      </c>
      <c r="F357">
        <v>3.35</v>
      </c>
      <c r="G357">
        <v>25</v>
      </c>
      <c r="H357">
        <v>3</v>
      </c>
      <c r="I357">
        <v>3</v>
      </c>
      <c r="J357">
        <v>0</v>
      </c>
      <c r="K357">
        <v>1</v>
      </c>
    </row>
    <row r="358" spans="1:11">
      <c r="A358">
        <v>12</v>
      </c>
      <c r="B358">
        <v>0</v>
      </c>
      <c r="C358">
        <v>1</v>
      </c>
      <c r="D358">
        <v>45</v>
      </c>
      <c r="E358">
        <v>0</v>
      </c>
      <c r="F358">
        <v>10.62</v>
      </c>
      <c r="G358">
        <v>63</v>
      </c>
      <c r="H358">
        <v>3</v>
      </c>
      <c r="I358">
        <v>3</v>
      </c>
      <c r="J358">
        <v>1</v>
      </c>
      <c r="K358">
        <v>0</v>
      </c>
    </row>
    <row r="359" spans="1:11">
      <c r="A359">
        <v>12</v>
      </c>
      <c r="B359">
        <v>0</v>
      </c>
      <c r="C359">
        <v>1</v>
      </c>
      <c r="D359">
        <v>9</v>
      </c>
      <c r="E359">
        <v>0</v>
      </c>
      <c r="F359">
        <v>8</v>
      </c>
      <c r="G359">
        <v>27</v>
      </c>
      <c r="H359">
        <v>3</v>
      </c>
      <c r="I359">
        <v>3</v>
      </c>
      <c r="J359">
        <v>0</v>
      </c>
      <c r="K359">
        <v>0</v>
      </c>
    </row>
    <row r="360" spans="1:11">
      <c r="A360">
        <v>12</v>
      </c>
      <c r="B360">
        <v>1</v>
      </c>
      <c r="C360">
        <v>1</v>
      </c>
      <c r="D360">
        <v>2</v>
      </c>
      <c r="E360">
        <v>0</v>
      </c>
      <c r="F360">
        <v>4.75</v>
      </c>
      <c r="G360">
        <v>20</v>
      </c>
      <c r="H360">
        <v>3</v>
      </c>
      <c r="I360">
        <v>3</v>
      </c>
      <c r="J360">
        <v>0</v>
      </c>
      <c r="K360">
        <v>1</v>
      </c>
    </row>
    <row r="361" spans="1:11">
      <c r="A361">
        <v>17</v>
      </c>
      <c r="B361">
        <v>1</v>
      </c>
      <c r="C361">
        <v>0</v>
      </c>
      <c r="D361">
        <v>3</v>
      </c>
      <c r="E361">
        <v>0</v>
      </c>
      <c r="F361">
        <v>8.5</v>
      </c>
      <c r="G361">
        <v>26</v>
      </c>
      <c r="H361">
        <v>3</v>
      </c>
      <c r="I361">
        <v>3</v>
      </c>
      <c r="J361">
        <v>0</v>
      </c>
      <c r="K361">
        <v>0</v>
      </c>
    </row>
    <row r="362" spans="1:11">
      <c r="A362">
        <v>14</v>
      </c>
      <c r="B362">
        <v>0</v>
      </c>
      <c r="C362">
        <v>1</v>
      </c>
      <c r="D362">
        <v>19</v>
      </c>
      <c r="E362">
        <v>1</v>
      </c>
      <c r="F362">
        <v>8.85</v>
      </c>
      <c r="G362">
        <v>39</v>
      </c>
      <c r="H362">
        <v>1</v>
      </c>
      <c r="I362">
        <v>3</v>
      </c>
      <c r="J362">
        <v>0</v>
      </c>
      <c r="K362">
        <v>1</v>
      </c>
    </row>
    <row r="363" spans="1:11">
      <c r="A363">
        <v>12</v>
      </c>
      <c r="B363">
        <v>1</v>
      </c>
      <c r="C363">
        <v>1</v>
      </c>
      <c r="D363">
        <v>14</v>
      </c>
      <c r="E363">
        <v>0</v>
      </c>
      <c r="F363">
        <v>8</v>
      </c>
      <c r="G363">
        <v>32</v>
      </c>
      <c r="H363">
        <v>3</v>
      </c>
      <c r="I363">
        <v>3</v>
      </c>
      <c r="J363">
        <v>0</v>
      </c>
      <c r="K363">
        <v>1</v>
      </c>
    </row>
    <row r="364" spans="1:11">
      <c r="A364">
        <v>4</v>
      </c>
      <c r="B364">
        <v>0</v>
      </c>
      <c r="C364">
        <v>0</v>
      </c>
      <c r="D364">
        <v>54</v>
      </c>
      <c r="E364">
        <v>0</v>
      </c>
      <c r="F364">
        <v>6</v>
      </c>
      <c r="G364">
        <v>64</v>
      </c>
      <c r="H364">
        <v>3</v>
      </c>
      <c r="I364">
        <v>4</v>
      </c>
      <c r="J364">
        <v>0</v>
      </c>
      <c r="K364">
        <v>1</v>
      </c>
    </row>
    <row r="365" spans="1:11">
      <c r="A365">
        <v>14</v>
      </c>
      <c r="B365">
        <v>0</v>
      </c>
      <c r="C365">
        <v>0</v>
      </c>
      <c r="D365">
        <v>17</v>
      </c>
      <c r="E365">
        <v>0</v>
      </c>
      <c r="F365">
        <v>7.14</v>
      </c>
      <c r="G365">
        <v>37</v>
      </c>
      <c r="H365">
        <v>3</v>
      </c>
      <c r="I365">
        <v>4</v>
      </c>
      <c r="J365">
        <v>0</v>
      </c>
      <c r="K365">
        <v>1</v>
      </c>
    </row>
    <row r="366" spans="1:11">
      <c r="A366">
        <v>8</v>
      </c>
      <c r="B366">
        <v>0</v>
      </c>
      <c r="C366">
        <v>1</v>
      </c>
      <c r="D366">
        <v>29</v>
      </c>
      <c r="E366">
        <v>0</v>
      </c>
      <c r="F366">
        <v>3.4</v>
      </c>
      <c r="G366">
        <v>43</v>
      </c>
      <c r="H366">
        <v>1</v>
      </c>
      <c r="I366">
        <v>4</v>
      </c>
      <c r="J366">
        <v>0</v>
      </c>
      <c r="K366">
        <v>1</v>
      </c>
    </row>
    <row r="367" spans="1:11">
      <c r="A367">
        <v>15</v>
      </c>
      <c r="B367">
        <v>1</v>
      </c>
      <c r="C367">
        <v>1</v>
      </c>
      <c r="D367">
        <v>26</v>
      </c>
      <c r="E367">
        <v>0</v>
      </c>
      <c r="F367">
        <v>6</v>
      </c>
      <c r="G367">
        <v>47</v>
      </c>
      <c r="H367">
        <v>3</v>
      </c>
      <c r="I367">
        <v>4</v>
      </c>
      <c r="J367">
        <v>0</v>
      </c>
      <c r="K367">
        <v>0</v>
      </c>
    </row>
    <row r="368" spans="1:11">
      <c r="A368">
        <v>2</v>
      </c>
      <c r="B368">
        <v>0</v>
      </c>
      <c r="C368">
        <v>0</v>
      </c>
      <c r="D368">
        <v>16</v>
      </c>
      <c r="E368">
        <v>0</v>
      </c>
      <c r="F368">
        <v>3.75</v>
      </c>
      <c r="G368">
        <v>24</v>
      </c>
      <c r="H368">
        <v>2</v>
      </c>
      <c r="I368">
        <v>4</v>
      </c>
      <c r="J368">
        <v>0</v>
      </c>
      <c r="K368">
        <v>0</v>
      </c>
    </row>
    <row r="369" spans="1:11">
      <c r="A369">
        <v>8</v>
      </c>
      <c r="B369">
        <v>0</v>
      </c>
      <c r="C369">
        <v>1</v>
      </c>
      <c r="D369">
        <v>29</v>
      </c>
      <c r="E369">
        <v>0</v>
      </c>
      <c r="F369">
        <v>8.89</v>
      </c>
      <c r="G369">
        <v>43</v>
      </c>
      <c r="H369">
        <v>1</v>
      </c>
      <c r="I369">
        <v>4</v>
      </c>
      <c r="J369">
        <v>0</v>
      </c>
      <c r="K369">
        <v>0</v>
      </c>
    </row>
    <row r="370" spans="1:11">
      <c r="A370">
        <v>11</v>
      </c>
      <c r="B370">
        <v>0</v>
      </c>
      <c r="C370">
        <v>1</v>
      </c>
      <c r="D370">
        <v>20</v>
      </c>
      <c r="E370">
        <v>0</v>
      </c>
      <c r="F370">
        <v>4.3499999999999996</v>
      </c>
      <c r="G370">
        <v>37</v>
      </c>
      <c r="H370">
        <v>3</v>
      </c>
      <c r="I370">
        <v>4</v>
      </c>
      <c r="J370">
        <v>0</v>
      </c>
      <c r="K370">
        <v>1</v>
      </c>
    </row>
    <row r="371" spans="1:11">
      <c r="A371">
        <v>10</v>
      </c>
      <c r="B371">
        <v>1</v>
      </c>
      <c r="C371">
        <v>1</v>
      </c>
      <c r="D371">
        <v>38</v>
      </c>
      <c r="E371">
        <v>0</v>
      </c>
      <c r="F371">
        <v>13.1</v>
      </c>
      <c r="G371">
        <v>54</v>
      </c>
      <c r="H371">
        <v>1</v>
      </c>
      <c r="I371">
        <v>4</v>
      </c>
      <c r="J371">
        <v>0</v>
      </c>
      <c r="K371">
        <v>1</v>
      </c>
    </row>
    <row r="372" spans="1:11">
      <c r="A372">
        <v>8</v>
      </c>
      <c r="B372">
        <v>1</v>
      </c>
      <c r="C372">
        <v>1</v>
      </c>
      <c r="D372">
        <v>37</v>
      </c>
      <c r="E372">
        <v>0</v>
      </c>
      <c r="F372">
        <v>4.3499999999999996</v>
      </c>
      <c r="G372">
        <v>51</v>
      </c>
      <c r="H372">
        <v>1</v>
      </c>
      <c r="I372">
        <v>4</v>
      </c>
      <c r="J372">
        <v>0</v>
      </c>
      <c r="K372">
        <v>1</v>
      </c>
    </row>
    <row r="373" spans="1:11">
      <c r="A373">
        <v>9</v>
      </c>
      <c r="B373">
        <v>0</v>
      </c>
      <c r="C373">
        <v>0</v>
      </c>
      <c r="D373">
        <v>48</v>
      </c>
      <c r="E373">
        <v>0</v>
      </c>
      <c r="F373">
        <v>3.5</v>
      </c>
      <c r="G373">
        <v>63</v>
      </c>
      <c r="H373">
        <v>3</v>
      </c>
      <c r="I373">
        <v>4</v>
      </c>
      <c r="J373">
        <v>0</v>
      </c>
      <c r="K373">
        <v>0</v>
      </c>
    </row>
    <row r="374" spans="1:11">
      <c r="A374">
        <v>12</v>
      </c>
      <c r="B374">
        <v>0</v>
      </c>
      <c r="C374">
        <v>1</v>
      </c>
      <c r="D374">
        <v>16</v>
      </c>
      <c r="E374">
        <v>0</v>
      </c>
      <c r="F374">
        <v>3.8</v>
      </c>
      <c r="G374">
        <v>34</v>
      </c>
      <c r="H374">
        <v>3</v>
      </c>
      <c r="I374">
        <v>4</v>
      </c>
      <c r="J374">
        <v>0</v>
      </c>
      <c r="K374">
        <v>0</v>
      </c>
    </row>
    <row r="375" spans="1:11">
      <c r="A375">
        <v>8</v>
      </c>
      <c r="B375">
        <v>0</v>
      </c>
      <c r="C375">
        <v>1</v>
      </c>
      <c r="D375">
        <v>38</v>
      </c>
      <c r="E375">
        <v>0</v>
      </c>
      <c r="F375">
        <v>5.26</v>
      </c>
      <c r="G375">
        <v>52</v>
      </c>
      <c r="H375">
        <v>3</v>
      </c>
      <c r="I375">
        <v>4</v>
      </c>
      <c r="J375">
        <v>0</v>
      </c>
      <c r="K375">
        <v>1</v>
      </c>
    </row>
    <row r="376" spans="1:11">
      <c r="A376">
        <v>14</v>
      </c>
      <c r="B376">
        <v>0</v>
      </c>
      <c r="C376">
        <v>0</v>
      </c>
      <c r="D376">
        <v>0</v>
      </c>
      <c r="E376">
        <v>0</v>
      </c>
      <c r="F376">
        <v>3.35</v>
      </c>
      <c r="G376">
        <v>20</v>
      </c>
      <c r="H376">
        <v>1</v>
      </c>
      <c r="I376">
        <v>4</v>
      </c>
      <c r="J376">
        <v>0</v>
      </c>
      <c r="K376">
        <v>0</v>
      </c>
    </row>
    <row r="377" spans="1:11">
      <c r="A377">
        <v>12</v>
      </c>
      <c r="B377">
        <v>0</v>
      </c>
      <c r="C377">
        <v>0</v>
      </c>
      <c r="D377">
        <v>14</v>
      </c>
      <c r="E377">
        <v>1</v>
      </c>
      <c r="F377">
        <v>16.260000000000002</v>
      </c>
      <c r="G377">
        <v>32</v>
      </c>
      <c r="H377">
        <v>1</v>
      </c>
      <c r="I377">
        <v>4</v>
      </c>
      <c r="J377">
        <v>0</v>
      </c>
      <c r="K377">
        <v>0</v>
      </c>
    </row>
    <row r="378" spans="1:11">
      <c r="A378">
        <v>12</v>
      </c>
      <c r="B378">
        <v>0</v>
      </c>
      <c r="C378">
        <v>1</v>
      </c>
      <c r="D378">
        <v>2</v>
      </c>
      <c r="E378">
        <v>0</v>
      </c>
      <c r="F378">
        <v>4.25</v>
      </c>
      <c r="G378">
        <v>20</v>
      </c>
      <c r="H378">
        <v>3</v>
      </c>
      <c r="I378">
        <v>4</v>
      </c>
      <c r="J378">
        <v>0</v>
      </c>
      <c r="K378">
        <v>1</v>
      </c>
    </row>
    <row r="379" spans="1:11">
      <c r="A379">
        <v>16</v>
      </c>
      <c r="B379">
        <v>0</v>
      </c>
      <c r="C379">
        <v>0</v>
      </c>
      <c r="D379">
        <v>21</v>
      </c>
      <c r="E379">
        <v>0</v>
      </c>
      <c r="F379">
        <v>4.5</v>
      </c>
      <c r="G379">
        <v>43</v>
      </c>
      <c r="H379">
        <v>3</v>
      </c>
      <c r="I379">
        <v>4</v>
      </c>
      <c r="J379">
        <v>0</v>
      </c>
      <c r="K379">
        <v>1</v>
      </c>
    </row>
    <row r="380" spans="1:11">
      <c r="A380">
        <v>13</v>
      </c>
      <c r="B380">
        <v>0</v>
      </c>
      <c r="C380">
        <v>1</v>
      </c>
      <c r="D380">
        <v>15</v>
      </c>
      <c r="E380">
        <v>0</v>
      </c>
      <c r="F380">
        <v>8</v>
      </c>
      <c r="G380">
        <v>34</v>
      </c>
      <c r="H380">
        <v>3</v>
      </c>
      <c r="I380">
        <v>4</v>
      </c>
      <c r="J380">
        <v>0</v>
      </c>
      <c r="K380">
        <v>1</v>
      </c>
    </row>
    <row r="381" spans="1:11">
      <c r="A381">
        <v>16</v>
      </c>
      <c r="B381">
        <v>0</v>
      </c>
      <c r="C381">
        <v>1</v>
      </c>
      <c r="D381">
        <v>20</v>
      </c>
      <c r="E381">
        <v>0</v>
      </c>
      <c r="F381">
        <v>4</v>
      </c>
      <c r="G381">
        <v>42</v>
      </c>
      <c r="H381">
        <v>3</v>
      </c>
      <c r="I381">
        <v>4</v>
      </c>
      <c r="J381">
        <v>0</v>
      </c>
      <c r="K381">
        <v>0</v>
      </c>
    </row>
    <row r="382" spans="1:11">
      <c r="A382">
        <v>14</v>
      </c>
      <c r="B382">
        <v>0</v>
      </c>
      <c r="C382">
        <v>1</v>
      </c>
      <c r="D382">
        <v>12</v>
      </c>
      <c r="E382">
        <v>0</v>
      </c>
      <c r="F382">
        <v>7.96</v>
      </c>
      <c r="G382">
        <v>32</v>
      </c>
      <c r="H382">
        <v>3</v>
      </c>
      <c r="I382">
        <v>4</v>
      </c>
      <c r="J382">
        <v>0</v>
      </c>
      <c r="K382">
        <v>1</v>
      </c>
    </row>
    <row r="383" spans="1:11">
      <c r="A383">
        <v>12</v>
      </c>
      <c r="B383">
        <v>1</v>
      </c>
      <c r="C383">
        <v>0</v>
      </c>
      <c r="D383">
        <v>7</v>
      </c>
      <c r="E383">
        <v>0</v>
      </c>
      <c r="F383">
        <v>4</v>
      </c>
      <c r="G383">
        <v>25</v>
      </c>
      <c r="H383">
        <v>2</v>
      </c>
      <c r="I383">
        <v>4</v>
      </c>
      <c r="J383">
        <v>0</v>
      </c>
      <c r="K383">
        <v>0</v>
      </c>
    </row>
    <row r="384" spans="1:11">
      <c r="A384">
        <v>11</v>
      </c>
      <c r="B384">
        <v>0</v>
      </c>
      <c r="C384">
        <v>0</v>
      </c>
      <c r="D384">
        <v>4</v>
      </c>
      <c r="E384">
        <v>0</v>
      </c>
      <c r="F384">
        <v>4.1500000000000004</v>
      </c>
      <c r="G384">
        <v>21</v>
      </c>
      <c r="H384">
        <v>3</v>
      </c>
      <c r="I384">
        <v>4</v>
      </c>
      <c r="J384">
        <v>0</v>
      </c>
      <c r="K384">
        <v>1</v>
      </c>
    </row>
    <row r="385" spans="1:11">
      <c r="A385">
        <v>13</v>
      </c>
      <c r="B385">
        <v>1</v>
      </c>
      <c r="C385">
        <v>0</v>
      </c>
      <c r="D385">
        <v>9</v>
      </c>
      <c r="E385">
        <v>0</v>
      </c>
      <c r="F385">
        <v>5.95</v>
      </c>
      <c r="G385">
        <v>28</v>
      </c>
      <c r="H385">
        <v>3</v>
      </c>
      <c r="I385">
        <v>4</v>
      </c>
      <c r="J385">
        <v>0</v>
      </c>
      <c r="K385">
        <v>1</v>
      </c>
    </row>
    <row r="386" spans="1:11">
      <c r="A386">
        <v>12</v>
      </c>
      <c r="B386">
        <v>1</v>
      </c>
      <c r="C386">
        <v>1</v>
      </c>
      <c r="D386">
        <v>43</v>
      </c>
      <c r="E386">
        <v>0</v>
      </c>
      <c r="F386">
        <v>3.6</v>
      </c>
      <c r="G386">
        <v>61</v>
      </c>
      <c r="H386">
        <v>2</v>
      </c>
      <c r="I386">
        <v>4</v>
      </c>
      <c r="J386">
        <v>0</v>
      </c>
      <c r="K386">
        <v>1</v>
      </c>
    </row>
    <row r="387" spans="1:11">
      <c r="A387">
        <v>10</v>
      </c>
      <c r="B387">
        <v>1</v>
      </c>
      <c r="C387">
        <v>0</v>
      </c>
      <c r="D387">
        <v>19</v>
      </c>
      <c r="E387">
        <v>0</v>
      </c>
      <c r="F387">
        <v>8.75</v>
      </c>
      <c r="G387">
        <v>35</v>
      </c>
      <c r="H387">
        <v>3</v>
      </c>
      <c r="I387">
        <v>4</v>
      </c>
      <c r="J387">
        <v>0</v>
      </c>
      <c r="K387">
        <v>0</v>
      </c>
    </row>
    <row r="388" spans="1:11">
      <c r="A388">
        <v>8</v>
      </c>
      <c r="B388">
        <v>0</v>
      </c>
      <c r="C388">
        <v>1</v>
      </c>
      <c r="D388">
        <v>49</v>
      </c>
      <c r="E388">
        <v>0</v>
      </c>
      <c r="F388">
        <v>3.4</v>
      </c>
      <c r="G388">
        <v>63</v>
      </c>
      <c r="H388">
        <v>3</v>
      </c>
      <c r="I388">
        <v>4</v>
      </c>
      <c r="J388">
        <v>0</v>
      </c>
      <c r="K388">
        <v>0</v>
      </c>
    </row>
    <row r="389" spans="1:11">
      <c r="A389">
        <v>12</v>
      </c>
      <c r="B389">
        <v>0</v>
      </c>
      <c r="C389">
        <v>1</v>
      </c>
      <c r="D389">
        <v>38</v>
      </c>
      <c r="E389">
        <v>0</v>
      </c>
      <c r="F389">
        <v>4.28</v>
      </c>
      <c r="G389">
        <v>56</v>
      </c>
      <c r="H389">
        <v>3</v>
      </c>
      <c r="I389">
        <v>4</v>
      </c>
      <c r="J389">
        <v>0</v>
      </c>
      <c r="K389">
        <v>1</v>
      </c>
    </row>
    <row r="390" spans="1:11">
      <c r="A390">
        <v>12</v>
      </c>
      <c r="B390">
        <v>0</v>
      </c>
      <c r="C390">
        <v>1</v>
      </c>
      <c r="D390">
        <v>13</v>
      </c>
      <c r="E390">
        <v>0</v>
      </c>
      <c r="F390">
        <v>5.35</v>
      </c>
      <c r="G390">
        <v>31</v>
      </c>
      <c r="H390">
        <v>3</v>
      </c>
      <c r="I390">
        <v>4</v>
      </c>
      <c r="J390">
        <v>0</v>
      </c>
      <c r="K390">
        <v>1</v>
      </c>
    </row>
    <row r="391" spans="1:11">
      <c r="A391">
        <v>12</v>
      </c>
      <c r="B391">
        <v>0</v>
      </c>
      <c r="C391">
        <v>1</v>
      </c>
      <c r="D391">
        <v>14</v>
      </c>
      <c r="E391">
        <v>0</v>
      </c>
      <c r="F391">
        <v>5</v>
      </c>
      <c r="G391">
        <v>32</v>
      </c>
      <c r="H391">
        <v>3</v>
      </c>
      <c r="I391">
        <v>4</v>
      </c>
      <c r="J391">
        <v>0</v>
      </c>
      <c r="K391">
        <v>1</v>
      </c>
    </row>
    <row r="392" spans="1:11">
      <c r="A392">
        <v>12</v>
      </c>
      <c r="B392">
        <v>0</v>
      </c>
      <c r="C392">
        <v>0</v>
      </c>
      <c r="D392">
        <v>20</v>
      </c>
      <c r="E392">
        <v>0</v>
      </c>
      <c r="F392">
        <v>7.65</v>
      </c>
      <c r="G392">
        <v>38</v>
      </c>
      <c r="H392">
        <v>3</v>
      </c>
      <c r="I392">
        <v>4</v>
      </c>
      <c r="J392">
        <v>0</v>
      </c>
      <c r="K392">
        <v>0</v>
      </c>
    </row>
    <row r="393" spans="1:11">
      <c r="A393">
        <v>12</v>
      </c>
      <c r="B393">
        <v>0</v>
      </c>
      <c r="C393">
        <v>1</v>
      </c>
      <c r="D393">
        <v>7</v>
      </c>
      <c r="E393">
        <v>0</v>
      </c>
      <c r="F393">
        <v>6.94</v>
      </c>
      <c r="G393">
        <v>25</v>
      </c>
      <c r="H393">
        <v>3</v>
      </c>
      <c r="I393">
        <v>4</v>
      </c>
      <c r="J393">
        <v>0</v>
      </c>
      <c r="K393">
        <v>0</v>
      </c>
    </row>
    <row r="394" spans="1:11">
      <c r="A394">
        <v>12</v>
      </c>
      <c r="B394">
        <v>0</v>
      </c>
      <c r="C394">
        <v>1</v>
      </c>
      <c r="D394">
        <v>9</v>
      </c>
      <c r="E394">
        <v>1</v>
      </c>
      <c r="F394">
        <v>7.5</v>
      </c>
      <c r="G394">
        <v>27</v>
      </c>
      <c r="H394">
        <v>3</v>
      </c>
      <c r="I394">
        <v>4</v>
      </c>
      <c r="J394">
        <v>1</v>
      </c>
      <c r="K394">
        <v>1</v>
      </c>
    </row>
    <row r="395" spans="1:11">
      <c r="A395">
        <v>12</v>
      </c>
      <c r="B395">
        <v>0</v>
      </c>
      <c r="C395">
        <v>1</v>
      </c>
      <c r="D395">
        <v>6</v>
      </c>
      <c r="E395">
        <v>0</v>
      </c>
      <c r="F395">
        <v>3.6</v>
      </c>
      <c r="G395">
        <v>24</v>
      </c>
      <c r="H395">
        <v>3</v>
      </c>
      <c r="I395">
        <v>4</v>
      </c>
      <c r="J395">
        <v>0</v>
      </c>
      <c r="K395">
        <v>0</v>
      </c>
    </row>
    <row r="396" spans="1:11">
      <c r="A396">
        <v>12</v>
      </c>
      <c r="B396">
        <v>1</v>
      </c>
      <c r="C396">
        <v>1</v>
      </c>
      <c r="D396">
        <v>5</v>
      </c>
      <c r="E396">
        <v>0</v>
      </c>
      <c r="F396">
        <v>1.75</v>
      </c>
      <c r="G396">
        <v>23</v>
      </c>
      <c r="H396">
        <v>3</v>
      </c>
      <c r="I396">
        <v>4</v>
      </c>
      <c r="J396">
        <v>0</v>
      </c>
      <c r="K396">
        <v>1</v>
      </c>
    </row>
    <row r="397" spans="1:11">
      <c r="A397">
        <v>13</v>
      </c>
      <c r="B397">
        <v>1</v>
      </c>
      <c r="C397">
        <v>1</v>
      </c>
      <c r="D397">
        <v>1</v>
      </c>
      <c r="E397">
        <v>0</v>
      </c>
      <c r="F397">
        <v>3.45</v>
      </c>
      <c r="G397">
        <v>20</v>
      </c>
      <c r="H397">
        <v>1</v>
      </c>
      <c r="I397">
        <v>4</v>
      </c>
      <c r="J397">
        <v>0</v>
      </c>
      <c r="K397">
        <v>0</v>
      </c>
    </row>
    <row r="398" spans="1:11">
      <c r="A398">
        <v>14</v>
      </c>
      <c r="B398">
        <v>0</v>
      </c>
      <c r="C398">
        <v>0</v>
      </c>
      <c r="D398">
        <v>22</v>
      </c>
      <c r="E398">
        <v>1</v>
      </c>
      <c r="F398">
        <v>9.6300000000000008</v>
      </c>
      <c r="G398">
        <v>42</v>
      </c>
      <c r="H398">
        <v>3</v>
      </c>
      <c r="I398">
        <v>4</v>
      </c>
      <c r="J398">
        <v>0</v>
      </c>
      <c r="K398">
        <v>1</v>
      </c>
    </row>
    <row r="399" spans="1:11">
      <c r="A399">
        <v>12</v>
      </c>
      <c r="B399">
        <v>0</v>
      </c>
      <c r="C399">
        <v>1</v>
      </c>
      <c r="D399">
        <v>24</v>
      </c>
      <c r="E399">
        <v>0</v>
      </c>
      <c r="F399">
        <v>8.49</v>
      </c>
      <c r="G399">
        <v>42</v>
      </c>
      <c r="H399">
        <v>3</v>
      </c>
      <c r="I399">
        <v>4</v>
      </c>
      <c r="J399">
        <v>0</v>
      </c>
      <c r="K399">
        <v>1</v>
      </c>
    </row>
    <row r="400" spans="1:11">
      <c r="A400">
        <v>12</v>
      </c>
      <c r="B400">
        <v>0</v>
      </c>
      <c r="C400">
        <v>1</v>
      </c>
      <c r="D400">
        <v>15</v>
      </c>
      <c r="E400">
        <v>1</v>
      </c>
      <c r="F400">
        <v>8.99</v>
      </c>
      <c r="G400">
        <v>33</v>
      </c>
      <c r="H400">
        <v>3</v>
      </c>
      <c r="I400">
        <v>4</v>
      </c>
      <c r="J400">
        <v>0</v>
      </c>
      <c r="K400">
        <v>0</v>
      </c>
    </row>
    <row r="401" spans="1:11">
      <c r="A401">
        <v>11</v>
      </c>
      <c r="B401">
        <v>1</v>
      </c>
      <c r="C401">
        <v>1</v>
      </c>
      <c r="D401">
        <v>8</v>
      </c>
      <c r="E401">
        <v>0</v>
      </c>
      <c r="F401">
        <v>3.65</v>
      </c>
      <c r="G401">
        <v>25</v>
      </c>
      <c r="H401">
        <v>3</v>
      </c>
      <c r="I401">
        <v>4</v>
      </c>
      <c r="J401">
        <v>0</v>
      </c>
      <c r="K401">
        <v>1</v>
      </c>
    </row>
    <row r="402" spans="1:11">
      <c r="A402">
        <v>11</v>
      </c>
      <c r="B402">
        <v>1</v>
      </c>
      <c r="C402">
        <v>1</v>
      </c>
      <c r="D402">
        <v>17</v>
      </c>
      <c r="E402">
        <v>0</v>
      </c>
      <c r="F402">
        <v>3.5</v>
      </c>
      <c r="G402">
        <v>34</v>
      </c>
      <c r="H402">
        <v>3</v>
      </c>
      <c r="I402">
        <v>4</v>
      </c>
      <c r="J402">
        <v>0</v>
      </c>
      <c r="K402">
        <v>1</v>
      </c>
    </row>
    <row r="403" spans="1:11">
      <c r="A403">
        <v>12</v>
      </c>
      <c r="B403">
        <v>1</v>
      </c>
      <c r="C403">
        <v>0</v>
      </c>
      <c r="D403">
        <v>2</v>
      </c>
      <c r="E403">
        <v>0</v>
      </c>
      <c r="F403">
        <v>3.43</v>
      </c>
      <c r="G403">
        <v>20</v>
      </c>
      <c r="H403">
        <v>1</v>
      </c>
      <c r="I403">
        <v>4</v>
      </c>
      <c r="J403">
        <v>0</v>
      </c>
      <c r="K403">
        <v>0</v>
      </c>
    </row>
    <row r="404" spans="1:11">
      <c r="A404">
        <v>12</v>
      </c>
      <c r="B404">
        <v>1</v>
      </c>
      <c r="C404">
        <v>0</v>
      </c>
      <c r="D404">
        <v>20</v>
      </c>
      <c r="E404">
        <v>0</v>
      </c>
      <c r="F404">
        <v>5.5</v>
      </c>
      <c r="G404">
        <v>38</v>
      </c>
      <c r="H404">
        <v>3</v>
      </c>
      <c r="I404">
        <v>4</v>
      </c>
      <c r="J404">
        <v>0</v>
      </c>
      <c r="K404">
        <v>1</v>
      </c>
    </row>
    <row r="405" spans="1:11">
      <c r="A405">
        <v>12</v>
      </c>
      <c r="B405">
        <v>0</v>
      </c>
      <c r="C405">
        <v>0</v>
      </c>
      <c r="D405">
        <v>26</v>
      </c>
      <c r="E405">
        <v>1</v>
      </c>
      <c r="F405">
        <v>6.93</v>
      </c>
      <c r="G405">
        <v>44</v>
      </c>
      <c r="H405">
        <v>3</v>
      </c>
      <c r="I405">
        <v>4</v>
      </c>
      <c r="J405">
        <v>0</v>
      </c>
      <c r="K405">
        <v>1</v>
      </c>
    </row>
    <row r="406" spans="1:11">
      <c r="A406">
        <v>10</v>
      </c>
      <c r="B406">
        <v>1</v>
      </c>
      <c r="C406">
        <v>1</v>
      </c>
      <c r="D406">
        <v>37</v>
      </c>
      <c r="E406">
        <v>0</v>
      </c>
      <c r="F406">
        <v>3.51</v>
      </c>
      <c r="G406">
        <v>53</v>
      </c>
      <c r="H406">
        <v>1</v>
      </c>
      <c r="I406">
        <v>4</v>
      </c>
      <c r="J406">
        <v>0</v>
      </c>
      <c r="K406">
        <v>1</v>
      </c>
    </row>
    <row r="407" spans="1:11">
      <c r="A407">
        <v>12</v>
      </c>
      <c r="B407">
        <v>0</v>
      </c>
      <c r="C407">
        <v>1</v>
      </c>
      <c r="D407">
        <v>41</v>
      </c>
      <c r="E407">
        <v>0</v>
      </c>
      <c r="F407">
        <v>3.75</v>
      </c>
      <c r="G407">
        <v>59</v>
      </c>
      <c r="H407">
        <v>3</v>
      </c>
      <c r="I407">
        <v>4</v>
      </c>
      <c r="J407">
        <v>0</v>
      </c>
      <c r="K407">
        <v>0</v>
      </c>
    </row>
    <row r="408" spans="1:11">
      <c r="A408">
        <v>12</v>
      </c>
      <c r="B408">
        <v>0</v>
      </c>
      <c r="C408">
        <v>1</v>
      </c>
      <c r="D408">
        <v>27</v>
      </c>
      <c r="E408">
        <v>0</v>
      </c>
      <c r="F408">
        <v>4.17</v>
      </c>
      <c r="G408">
        <v>45</v>
      </c>
      <c r="H408">
        <v>3</v>
      </c>
      <c r="I408">
        <v>4</v>
      </c>
      <c r="J408">
        <v>0</v>
      </c>
      <c r="K408">
        <v>1</v>
      </c>
    </row>
    <row r="409" spans="1:11">
      <c r="A409">
        <v>12</v>
      </c>
      <c r="B409">
        <v>0</v>
      </c>
      <c r="C409">
        <v>1</v>
      </c>
      <c r="D409">
        <v>5</v>
      </c>
      <c r="E409">
        <v>1</v>
      </c>
      <c r="F409">
        <v>9.57</v>
      </c>
      <c r="G409">
        <v>23</v>
      </c>
      <c r="H409">
        <v>3</v>
      </c>
      <c r="I409">
        <v>4</v>
      </c>
      <c r="J409">
        <v>0</v>
      </c>
      <c r="K409">
        <v>1</v>
      </c>
    </row>
    <row r="410" spans="1:11">
      <c r="A410">
        <v>14</v>
      </c>
      <c r="B410">
        <v>0</v>
      </c>
      <c r="C410">
        <v>0</v>
      </c>
      <c r="D410">
        <v>16</v>
      </c>
      <c r="E410">
        <v>0</v>
      </c>
      <c r="F410">
        <v>14.67</v>
      </c>
      <c r="G410">
        <v>36</v>
      </c>
      <c r="H410">
        <v>1</v>
      </c>
      <c r="I410">
        <v>4</v>
      </c>
      <c r="J410">
        <v>0</v>
      </c>
      <c r="K410">
        <v>1</v>
      </c>
    </row>
    <row r="411" spans="1:11">
      <c r="A411">
        <v>14</v>
      </c>
      <c r="B411">
        <v>0</v>
      </c>
      <c r="C411">
        <v>1</v>
      </c>
      <c r="D411">
        <v>19</v>
      </c>
      <c r="E411">
        <v>0</v>
      </c>
      <c r="F411">
        <v>12.5</v>
      </c>
      <c r="G411">
        <v>39</v>
      </c>
      <c r="H411">
        <v>3</v>
      </c>
      <c r="I411">
        <v>4</v>
      </c>
      <c r="J411">
        <v>0</v>
      </c>
      <c r="K411">
        <v>1</v>
      </c>
    </row>
    <row r="412" spans="1:11">
      <c r="A412">
        <v>12</v>
      </c>
      <c r="B412">
        <v>0</v>
      </c>
      <c r="C412">
        <v>0</v>
      </c>
      <c r="D412">
        <v>10</v>
      </c>
      <c r="E412">
        <v>0</v>
      </c>
      <c r="F412">
        <v>5.5</v>
      </c>
      <c r="G412">
        <v>28</v>
      </c>
      <c r="H412">
        <v>3</v>
      </c>
      <c r="I412">
        <v>4</v>
      </c>
      <c r="J412">
        <v>0</v>
      </c>
      <c r="K412">
        <v>1</v>
      </c>
    </row>
    <row r="413" spans="1:11">
      <c r="A413">
        <v>13</v>
      </c>
      <c r="B413">
        <v>1</v>
      </c>
      <c r="C413">
        <v>0</v>
      </c>
      <c r="D413">
        <v>1</v>
      </c>
      <c r="E413">
        <v>1</v>
      </c>
      <c r="F413">
        <v>5.15</v>
      </c>
      <c r="G413">
        <v>20</v>
      </c>
      <c r="H413">
        <v>3</v>
      </c>
      <c r="I413">
        <v>4</v>
      </c>
      <c r="J413">
        <v>0</v>
      </c>
      <c r="K413">
        <v>0</v>
      </c>
    </row>
    <row r="414" spans="1:11">
      <c r="A414">
        <v>12</v>
      </c>
      <c r="B414">
        <v>0</v>
      </c>
      <c r="C414">
        <v>1</v>
      </c>
      <c r="D414">
        <v>43</v>
      </c>
      <c r="E414">
        <v>1</v>
      </c>
      <c r="F414">
        <v>8</v>
      </c>
      <c r="G414">
        <v>61</v>
      </c>
      <c r="H414">
        <v>1</v>
      </c>
      <c r="I414">
        <v>4</v>
      </c>
      <c r="J414">
        <v>0</v>
      </c>
      <c r="K414">
        <v>1</v>
      </c>
    </row>
    <row r="415" spans="1:11">
      <c r="A415">
        <v>13</v>
      </c>
      <c r="B415">
        <v>0</v>
      </c>
      <c r="C415">
        <v>0</v>
      </c>
      <c r="D415">
        <v>3</v>
      </c>
      <c r="E415">
        <v>0</v>
      </c>
      <c r="F415">
        <v>5.83</v>
      </c>
      <c r="G415">
        <v>22</v>
      </c>
      <c r="H415">
        <v>1</v>
      </c>
      <c r="I415">
        <v>4</v>
      </c>
      <c r="J415">
        <v>0</v>
      </c>
      <c r="K415">
        <v>0</v>
      </c>
    </row>
    <row r="416" spans="1:11">
      <c r="A416">
        <v>12</v>
      </c>
      <c r="B416">
        <v>0</v>
      </c>
      <c r="C416">
        <v>1</v>
      </c>
      <c r="D416">
        <v>0</v>
      </c>
      <c r="E416">
        <v>0</v>
      </c>
      <c r="F416">
        <v>3.35</v>
      </c>
      <c r="G416">
        <v>18</v>
      </c>
      <c r="H416">
        <v>3</v>
      </c>
      <c r="I416">
        <v>4</v>
      </c>
      <c r="J416">
        <v>0</v>
      </c>
      <c r="K416">
        <v>0</v>
      </c>
    </row>
    <row r="417" spans="1:11">
      <c r="A417">
        <v>12</v>
      </c>
      <c r="B417">
        <v>1</v>
      </c>
      <c r="C417">
        <v>1</v>
      </c>
      <c r="D417">
        <v>26</v>
      </c>
      <c r="E417">
        <v>0</v>
      </c>
      <c r="F417">
        <v>7</v>
      </c>
      <c r="G417">
        <v>44</v>
      </c>
      <c r="H417">
        <v>3</v>
      </c>
      <c r="I417">
        <v>4</v>
      </c>
      <c r="J417">
        <v>0</v>
      </c>
      <c r="K417">
        <v>1</v>
      </c>
    </row>
    <row r="418" spans="1:11">
      <c r="A418">
        <v>10</v>
      </c>
      <c r="B418">
        <v>0</v>
      </c>
      <c r="C418">
        <v>1</v>
      </c>
      <c r="D418">
        <v>25</v>
      </c>
      <c r="E418">
        <v>1</v>
      </c>
      <c r="F418">
        <v>10</v>
      </c>
      <c r="G418">
        <v>41</v>
      </c>
      <c r="H418">
        <v>3</v>
      </c>
      <c r="I418">
        <v>4</v>
      </c>
      <c r="J418">
        <v>0</v>
      </c>
      <c r="K418">
        <v>1</v>
      </c>
    </row>
    <row r="419" spans="1:11">
      <c r="A419">
        <v>12</v>
      </c>
      <c r="B419">
        <v>0</v>
      </c>
      <c r="C419">
        <v>1</v>
      </c>
      <c r="D419">
        <v>15</v>
      </c>
      <c r="E419">
        <v>0</v>
      </c>
      <c r="F419">
        <v>8</v>
      </c>
      <c r="G419">
        <v>33</v>
      </c>
      <c r="H419">
        <v>3</v>
      </c>
      <c r="I419">
        <v>4</v>
      </c>
      <c r="J419">
        <v>0</v>
      </c>
      <c r="K419">
        <v>1</v>
      </c>
    </row>
    <row r="420" spans="1:11">
      <c r="A420">
        <v>14</v>
      </c>
      <c r="B420">
        <v>1</v>
      </c>
      <c r="C420">
        <v>1</v>
      </c>
      <c r="D420">
        <v>10</v>
      </c>
      <c r="E420">
        <v>0</v>
      </c>
      <c r="F420">
        <v>6.88</v>
      </c>
      <c r="G420">
        <v>30</v>
      </c>
      <c r="H420">
        <v>3</v>
      </c>
      <c r="I420">
        <v>4</v>
      </c>
      <c r="J420">
        <v>0</v>
      </c>
      <c r="K420">
        <v>0</v>
      </c>
    </row>
    <row r="421" spans="1:11">
      <c r="A421">
        <v>11</v>
      </c>
      <c r="B421">
        <v>0</v>
      </c>
      <c r="C421">
        <v>1</v>
      </c>
      <c r="D421">
        <v>45</v>
      </c>
      <c r="E421">
        <v>1</v>
      </c>
      <c r="F421">
        <v>5.55</v>
      </c>
      <c r="G421">
        <v>62</v>
      </c>
      <c r="H421">
        <v>3</v>
      </c>
      <c r="I421">
        <v>4</v>
      </c>
      <c r="J421">
        <v>0</v>
      </c>
      <c r="K421">
        <v>0</v>
      </c>
    </row>
    <row r="422" spans="1:11">
      <c r="A422">
        <v>11</v>
      </c>
      <c r="B422">
        <v>0</v>
      </c>
      <c r="C422">
        <v>0</v>
      </c>
      <c r="D422">
        <v>3</v>
      </c>
      <c r="E422">
        <v>0</v>
      </c>
      <c r="F422">
        <v>7.5</v>
      </c>
      <c r="G422">
        <v>20</v>
      </c>
      <c r="H422">
        <v>1</v>
      </c>
      <c r="I422">
        <v>4</v>
      </c>
      <c r="J422">
        <v>0</v>
      </c>
      <c r="K422">
        <v>0</v>
      </c>
    </row>
    <row r="423" spans="1:11">
      <c r="A423">
        <v>8</v>
      </c>
      <c r="B423">
        <v>0</v>
      </c>
      <c r="C423">
        <v>0</v>
      </c>
      <c r="D423">
        <v>47</v>
      </c>
      <c r="E423">
        <v>1</v>
      </c>
      <c r="F423">
        <v>8.93</v>
      </c>
      <c r="G423">
        <v>61</v>
      </c>
      <c r="H423">
        <v>2</v>
      </c>
      <c r="I423">
        <v>4</v>
      </c>
      <c r="J423">
        <v>0</v>
      </c>
      <c r="K423">
        <v>1</v>
      </c>
    </row>
    <row r="424" spans="1:11">
      <c r="A424">
        <v>16</v>
      </c>
      <c r="B424">
        <v>0</v>
      </c>
      <c r="C424">
        <v>1</v>
      </c>
      <c r="D424">
        <v>6</v>
      </c>
      <c r="E424">
        <v>0</v>
      </c>
      <c r="F424">
        <v>9</v>
      </c>
      <c r="G424">
        <v>28</v>
      </c>
      <c r="H424">
        <v>1</v>
      </c>
      <c r="I424">
        <v>4</v>
      </c>
      <c r="J424">
        <v>0</v>
      </c>
      <c r="K424">
        <v>1</v>
      </c>
    </row>
    <row r="425" spans="1:11">
      <c r="A425">
        <v>10</v>
      </c>
      <c r="B425">
        <v>1</v>
      </c>
      <c r="C425">
        <v>1</v>
      </c>
      <c r="D425">
        <v>33</v>
      </c>
      <c r="E425">
        <v>0</v>
      </c>
      <c r="F425">
        <v>3.5</v>
      </c>
      <c r="G425">
        <v>49</v>
      </c>
      <c r="H425">
        <v>3</v>
      </c>
      <c r="I425">
        <v>4</v>
      </c>
      <c r="J425">
        <v>0</v>
      </c>
      <c r="K425">
        <v>0</v>
      </c>
    </row>
    <row r="426" spans="1:11">
      <c r="A426">
        <v>16</v>
      </c>
      <c r="B426">
        <v>0</v>
      </c>
      <c r="C426">
        <v>0</v>
      </c>
      <c r="D426">
        <v>3</v>
      </c>
      <c r="E426">
        <v>0</v>
      </c>
      <c r="F426">
        <v>5.77</v>
      </c>
      <c r="G426">
        <v>25</v>
      </c>
      <c r="H426">
        <v>3</v>
      </c>
      <c r="I426">
        <v>4</v>
      </c>
      <c r="J426">
        <v>1</v>
      </c>
      <c r="K426">
        <v>0</v>
      </c>
    </row>
    <row r="427" spans="1:11">
      <c r="A427">
        <v>14</v>
      </c>
      <c r="B427">
        <v>0</v>
      </c>
      <c r="C427">
        <v>0</v>
      </c>
      <c r="D427">
        <v>4</v>
      </c>
      <c r="E427">
        <v>1</v>
      </c>
      <c r="F427">
        <v>25</v>
      </c>
      <c r="G427">
        <v>24</v>
      </c>
      <c r="H427">
        <v>2</v>
      </c>
      <c r="I427">
        <v>4</v>
      </c>
      <c r="J427">
        <v>0</v>
      </c>
      <c r="K427">
        <v>0</v>
      </c>
    </row>
    <row r="428" spans="1:11">
      <c r="A428">
        <v>14</v>
      </c>
      <c r="B428">
        <v>0</v>
      </c>
      <c r="C428">
        <v>0</v>
      </c>
      <c r="D428">
        <v>34</v>
      </c>
      <c r="E428">
        <v>1</v>
      </c>
      <c r="F428">
        <v>6.85</v>
      </c>
      <c r="G428">
        <v>54</v>
      </c>
      <c r="H428">
        <v>1</v>
      </c>
      <c r="I428">
        <v>4</v>
      </c>
      <c r="J428">
        <v>0</v>
      </c>
      <c r="K428">
        <v>1</v>
      </c>
    </row>
    <row r="429" spans="1:11">
      <c r="A429">
        <v>11</v>
      </c>
      <c r="B429">
        <v>1</v>
      </c>
      <c r="C429">
        <v>0</v>
      </c>
      <c r="D429">
        <v>39</v>
      </c>
      <c r="E429">
        <v>0</v>
      </c>
      <c r="F429">
        <v>6.5</v>
      </c>
      <c r="G429">
        <v>56</v>
      </c>
      <c r="H429">
        <v>3</v>
      </c>
      <c r="I429">
        <v>4</v>
      </c>
      <c r="J429">
        <v>0</v>
      </c>
      <c r="K429">
        <v>1</v>
      </c>
    </row>
    <row r="430" spans="1:11">
      <c r="A430">
        <v>12</v>
      </c>
      <c r="B430">
        <v>1</v>
      </c>
      <c r="C430">
        <v>1</v>
      </c>
      <c r="D430">
        <v>17</v>
      </c>
      <c r="E430">
        <v>0</v>
      </c>
      <c r="F430">
        <v>3.75</v>
      </c>
      <c r="G430">
        <v>35</v>
      </c>
      <c r="H430">
        <v>3</v>
      </c>
      <c r="I430">
        <v>4</v>
      </c>
      <c r="J430">
        <v>0</v>
      </c>
      <c r="K430">
        <v>1</v>
      </c>
    </row>
    <row r="431" spans="1:11">
      <c r="A431">
        <v>9</v>
      </c>
      <c r="B431">
        <v>0</v>
      </c>
      <c r="C431">
        <v>0</v>
      </c>
      <c r="D431">
        <v>47</v>
      </c>
      <c r="E431">
        <v>1</v>
      </c>
      <c r="F431">
        <v>3.5</v>
      </c>
      <c r="G431">
        <v>62</v>
      </c>
      <c r="H431">
        <v>3</v>
      </c>
      <c r="I431">
        <v>4</v>
      </c>
      <c r="J431">
        <v>0</v>
      </c>
      <c r="K431">
        <v>1</v>
      </c>
    </row>
    <row r="432" spans="1:11">
      <c r="A432">
        <v>11</v>
      </c>
      <c r="B432">
        <v>0</v>
      </c>
      <c r="C432">
        <v>0</v>
      </c>
      <c r="D432">
        <v>2</v>
      </c>
      <c r="E432">
        <v>0</v>
      </c>
      <c r="F432">
        <v>4.5</v>
      </c>
      <c r="G432">
        <v>19</v>
      </c>
      <c r="H432">
        <v>3</v>
      </c>
      <c r="I432">
        <v>4</v>
      </c>
      <c r="J432">
        <v>0</v>
      </c>
      <c r="K432">
        <v>0</v>
      </c>
    </row>
    <row r="433" spans="1:11">
      <c r="A433">
        <v>13</v>
      </c>
      <c r="B433">
        <v>1</v>
      </c>
      <c r="C433">
        <v>0</v>
      </c>
      <c r="D433">
        <v>0</v>
      </c>
      <c r="E433">
        <v>0</v>
      </c>
      <c r="F433">
        <v>2.0099999999999998</v>
      </c>
      <c r="G433">
        <v>19</v>
      </c>
      <c r="H433">
        <v>3</v>
      </c>
      <c r="I433">
        <v>4</v>
      </c>
      <c r="J433">
        <v>0</v>
      </c>
      <c r="K433">
        <v>0</v>
      </c>
    </row>
    <row r="434" spans="1:11">
      <c r="A434">
        <v>14</v>
      </c>
      <c r="B434">
        <v>0</v>
      </c>
      <c r="C434">
        <v>1</v>
      </c>
      <c r="D434">
        <v>24</v>
      </c>
      <c r="E434">
        <v>0</v>
      </c>
      <c r="F434">
        <v>4.17</v>
      </c>
      <c r="G434">
        <v>44</v>
      </c>
      <c r="H434">
        <v>3</v>
      </c>
      <c r="I434">
        <v>4</v>
      </c>
      <c r="J434">
        <v>0</v>
      </c>
      <c r="K434">
        <v>0</v>
      </c>
    </row>
    <row r="435" spans="1:11">
      <c r="A435">
        <v>12</v>
      </c>
      <c r="B435">
        <v>0</v>
      </c>
      <c r="C435">
        <v>0</v>
      </c>
      <c r="D435">
        <v>25</v>
      </c>
      <c r="E435">
        <v>1</v>
      </c>
      <c r="F435">
        <v>13</v>
      </c>
      <c r="G435">
        <v>43</v>
      </c>
      <c r="H435">
        <v>1</v>
      </c>
      <c r="I435">
        <v>4</v>
      </c>
      <c r="J435">
        <v>0</v>
      </c>
      <c r="K435">
        <v>1</v>
      </c>
    </row>
    <row r="436" spans="1:11">
      <c r="A436">
        <v>14</v>
      </c>
      <c r="B436">
        <v>0</v>
      </c>
      <c r="C436">
        <v>1</v>
      </c>
      <c r="D436">
        <v>6</v>
      </c>
      <c r="E436">
        <v>0</v>
      </c>
      <c r="F436">
        <v>3.98</v>
      </c>
      <c r="G436">
        <v>26</v>
      </c>
      <c r="H436">
        <v>3</v>
      </c>
      <c r="I436">
        <v>4</v>
      </c>
      <c r="J436">
        <v>0</v>
      </c>
      <c r="K436">
        <v>0</v>
      </c>
    </row>
    <row r="437" spans="1:11">
      <c r="A437">
        <v>12</v>
      </c>
      <c r="B437">
        <v>0</v>
      </c>
      <c r="C437">
        <v>1</v>
      </c>
      <c r="D437">
        <v>10</v>
      </c>
      <c r="E437">
        <v>0</v>
      </c>
      <c r="F437">
        <v>7.5</v>
      </c>
      <c r="G437">
        <v>28</v>
      </c>
      <c r="H437">
        <v>3</v>
      </c>
      <c r="I437">
        <v>4</v>
      </c>
      <c r="J437">
        <v>0</v>
      </c>
      <c r="K437">
        <v>0</v>
      </c>
    </row>
    <row r="438" spans="1:11">
      <c r="A438">
        <v>12</v>
      </c>
      <c r="B438">
        <v>0</v>
      </c>
      <c r="C438">
        <v>1</v>
      </c>
      <c r="D438">
        <v>33</v>
      </c>
      <c r="E438">
        <v>0</v>
      </c>
      <c r="F438">
        <v>13.12</v>
      </c>
      <c r="G438">
        <v>51</v>
      </c>
      <c r="H438">
        <v>1</v>
      </c>
      <c r="I438">
        <v>4</v>
      </c>
      <c r="J438">
        <v>0</v>
      </c>
      <c r="K438">
        <v>1</v>
      </c>
    </row>
    <row r="439" spans="1:11">
      <c r="A439">
        <v>12</v>
      </c>
      <c r="B439">
        <v>0</v>
      </c>
      <c r="C439">
        <v>0</v>
      </c>
      <c r="D439">
        <v>12</v>
      </c>
      <c r="E439">
        <v>0</v>
      </c>
      <c r="F439">
        <v>4</v>
      </c>
      <c r="G439">
        <v>30</v>
      </c>
      <c r="H439">
        <v>3</v>
      </c>
      <c r="I439">
        <v>4</v>
      </c>
      <c r="J439">
        <v>0</v>
      </c>
      <c r="K439">
        <v>0</v>
      </c>
    </row>
    <row r="440" spans="1:11">
      <c r="A440">
        <v>12</v>
      </c>
      <c r="B440">
        <v>1</v>
      </c>
      <c r="C440">
        <v>1</v>
      </c>
      <c r="D440">
        <v>9</v>
      </c>
      <c r="E440">
        <v>0</v>
      </c>
      <c r="F440">
        <v>3.95</v>
      </c>
      <c r="G440">
        <v>27</v>
      </c>
      <c r="H440">
        <v>3</v>
      </c>
      <c r="I440">
        <v>4</v>
      </c>
      <c r="J440">
        <v>0</v>
      </c>
      <c r="K440">
        <v>1</v>
      </c>
    </row>
    <row r="441" spans="1:11">
      <c r="A441">
        <v>11</v>
      </c>
      <c r="B441">
        <v>1</v>
      </c>
      <c r="C441">
        <v>0</v>
      </c>
      <c r="D441">
        <v>18</v>
      </c>
      <c r="E441">
        <v>1</v>
      </c>
      <c r="F441">
        <v>13</v>
      </c>
      <c r="G441">
        <v>35</v>
      </c>
      <c r="H441">
        <v>3</v>
      </c>
      <c r="I441">
        <v>4</v>
      </c>
      <c r="J441">
        <v>0</v>
      </c>
      <c r="K441">
        <v>1</v>
      </c>
    </row>
    <row r="442" spans="1:11">
      <c r="A442">
        <v>12</v>
      </c>
      <c r="B442">
        <v>0</v>
      </c>
      <c r="C442">
        <v>0</v>
      </c>
      <c r="D442">
        <v>10</v>
      </c>
      <c r="E442">
        <v>0</v>
      </c>
      <c r="F442">
        <v>9</v>
      </c>
      <c r="G442">
        <v>28</v>
      </c>
      <c r="H442">
        <v>3</v>
      </c>
      <c r="I442">
        <v>4</v>
      </c>
      <c r="J442">
        <v>0</v>
      </c>
      <c r="K442">
        <v>1</v>
      </c>
    </row>
    <row r="443" spans="1:11">
      <c r="A443">
        <v>8</v>
      </c>
      <c r="B443">
        <v>1</v>
      </c>
      <c r="C443">
        <v>1</v>
      </c>
      <c r="D443">
        <v>45</v>
      </c>
      <c r="E443">
        <v>0</v>
      </c>
      <c r="F443">
        <v>4.55</v>
      </c>
      <c r="G443">
        <v>59</v>
      </c>
      <c r="H443">
        <v>3</v>
      </c>
      <c r="I443">
        <v>4</v>
      </c>
      <c r="J443">
        <v>0</v>
      </c>
      <c r="K443">
        <v>0</v>
      </c>
    </row>
    <row r="444" spans="1:11">
      <c r="A444">
        <v>9</v>
      </c>
      <c r="B444">
        <v>0</v>
      </c>
      <c r="C444">
        <v>1</v>
      </c>
      <c r="D444">
        <v>46</v>
      </c>
      <c r="E444">
        <v>1</v>
      </c>
      <c r="F444">
        <v>9.5</v>
      </c>
      <c r="G444">
        <v>61</v>
      </c>
      <c r="H444">
        <v>3</v>
      </c>
      <c r="I444">
        <v>4</v>
      </c>
      <c r="J444">
        <v>0</v>
      </c>
      <c r="K444">
        <v>1</v>
      </c>
    </row>
    <row r="445" spans="1:11">
      <c r="A445">
        <v>7</v>
      </c>
      <c r="B445">
        <v>1</v>
      </c>
      <c r="C445">
        <v>0</v>
      </c>
      <c r="D445">
        <v>14</v>
      </c>
      <c r="E445">
        <v>0</v>
      </c>
      <c r="F445">
        <v>4.5</v>
      </c>
      <c r="G445">
        <v>27</v>
      </c>
      <c r="H445">
        <v>2</v>
      </c>
      <c r="I445">
        <v>4</v>
      </c>
      <c r="J445">
        <v>0</v>
      </c>
      <c r="K445">
        <v>1</v>
      </c>
    </row>
    <row r="446" spans="1:11">
      <c r="A446">
        <v>11</v>
      </c>
      <c r="B446">
        <v>0</v>
      </c>
      <c r="C446">
        <v>1</v>
      </c>
      <c r="D446">
        <v>36</v>
      </c>
      <c r="E446">
        <v>0</v>
      </c>
      <c r="F446">
        <v>8.75</v>
      </c>
      <c r="G446">
        <v>53</v>
      </c>
      <c r="H446">
        <v>3</v>
      </c>
      <c r="I446">
        <v>4</v>
      </c>
      <c r="J446">
        <v>0</v>
      </c>
      <c r="K446">
        <v>0</v>
      </c>
    </row>
    <row r="447" spans="1:11">
      <c r="A447">
        <v>13</v>
      </c>
      <c r="B447">
        <v>0</v>
      </c>
      <c r="C447">
        <v>0</v>
      </c>
      <c r="D447">
        <v>34</v>
      </c>
      <c r="E447">
        <v>1</v>
      </c>
      <c r="F447">
        <v>10</v>
      </c>
      <c r="G447">
        <v>53</v>
      </c>
      <c r="H447">
        <v>3</v>
      </c>
      <c r="I447">
        <v>5</v>
      </c>
      <c r="J447">
        <v>2</v>
      </c>
      <c r="K447">
        <v>1</v>
      </c>
    </row>
    <row r="448" spans="1:11">
      <c r="A448">
        <v>18</v>
      </c>
      <c r="B448">
        <v>0</v>
      </c>
      <c r="C448">
        <v>0</v>
      </c>
      <c r="D448">
        <v>15</v>
      </c>
      <c r="E448">
        <v>0</v>
      </c>
      <c r="F448">
        <v>18</v>
      </c>
      <c r="G448">
        <v>39</v>
      </c>
      <c r="H448">
        <v>3</v>
      </c>
      <c r="I448">
        <v>5</v>
      </c>
      <c r="J448">
        <v>0</v>
      </c>
      <c r="K448">
        <v>1</v>
      </c>
    </row>
    <row r="449" spans="1:11">
      <c r="A449">
        <v>17</v>
      </c>
      <c r="B449">
        <v>0</v>
      </c>
      <c r="C449">
        <v>0</v>
      </c>
      <c r="D449">
        <v>31</v>
      </c>
      <c r="E449">
        <v>0</v>
      </c>
      <c r="F449">
        <v>24.98</v>
      </c>
      <c r="G449">
        <v>54</v>
      </c>
      <c r="H449">
        <v>3</v>
      </c>
      <c r="I449">
        <v>5</v>
      </c>
      <c r="J449">
        <v>1</v>
      </c>
      <c r="K449">
        <v>1</v>
      </c>
    </row>
    <row r="450" spans="1:11">
      <c r="A450">
        <v>16</v>
      </c>
      <c r="B450">
        <v>0</v>
      </c>
      <c r="C450">
        <v>1</v>
      </c>
      <c r="D450">
        <v>6</v>
      </c>
      <c r="E450">
        <v>0</v>
      </c>
      <c r="F450">
        <v>12.05</v>
      </c>
      <c r="G450">
        <v>28</v>
      </c>
      <c r="H450">
        <v>3</v>
      </c>
      <c r="I450">
        <v>5</v>
      </c>
      <c r="J450">
        <v>1</v>
      </c>
      <c r="K450">
        <v>0</v>
      </c>
    </row>
    <row r="451" spans="1:11">
      <c r="A451">
        <v>14</v>
      </c>
      <c r="B451">
        <v>1</v>
      </c>
      <c r="C451">
        <v>0</v>
      </c>
      <c r="D451">
        <v>15</v>
      </c>
      <c r="E451">
        <v>0</v>
      </c>
      <c r="F451">
        <v>22</v>
      </c>
      <c r="G451">
        <v>35</v>
      </c>
      <c r="H451">
        <v>3</v>
      </c>
      <c r="I451">
        <v>5</v>
      </c>
      <c r="J451">
        <v>0</v>
      </c>
      <c r="K451">
        <v>1</v>
      </c>
    </row>
    <row r="452" spans="1:11">
      <c r="A452">
        <v>12</v>
      </c>
      <c r="B452">
        <v>0</v>
      </c>
      <c r="C452">
        <v>0</v>
      </c>
      <c r="D452">
        <v>30</v>
      </c>
      <c r="E452">
        <v>0</v>
      </c>
      <c r="F452">
        <v>8.75</v>
      </c>
      <c r="G452">
        <v>48</v>
      </c>
      <c r="H452">
        <v>3</v>
      </c>
      <c r="I452">
        <v>5</v>
      </c>
      <c r="J452">
        <v>0</v>
      </c>
      <c r="K452">
        <v>1</v>
      </c>
    </row>
    <row r="453" spans="1:11">
      <c r="A453">
        <v>18</v>
      </c>
      <c r="B453">
        <v>0</v>
      </c>
      <c r="C453">
        <v>0</v>
      </c>
      <c r="D453">
        <v>8</v>
      </c>
      <c r="E453">
        <v>0</v>
      </c>
      <c r="F453">
        <v>22.2</v>
      </c>
      <c r="G453">
        <v>32</v>
      </c>
      <c r="H453">
        <v>3</v>
      </c>
      <c r="I453">
        <v>5</v>
      </c>
      <c r="J453">
        <v>0</v>
      </c>
      <c r="K453">
        <v>1</v>
      </c>
    </row>
    <row r="454" spans="1:11">
      <c r="A454">
        <v>18</v>
      </c>
      <c r="B454">
        <v>0</v>
      </c>
      <c r="C454">
        <v>0</v>
      </c>
      <c r="D454">
        <v>5</v>
      </c>
      <c r="E454">
        <v>0</v>
      </c>
      <c r="F454">
        <v>17.25</v>
      </c>
      <c r="G454">
        <v>29</v>
      </c>
      <c r="H454">
        <v>3</v>
      </c>
      <c r="I454">
        <v>5</v>
      </c>
      <c r="J454">
        <v>1</v>
      </c>
      <c r="K454">
        <v>1</v>
      </c>
    </row>
    <row r="455" spans="1:11">
      <c r="A455">
        <v>17</v>
      </c>
      <c r="B455">
        <v>0</v>
      </c>
      <c r="C455">
        <v>1</v>
      </c>
      <c r="D455">
        <v>3</v>
      </c>
      <c r="E455">
        <v>1</v>
      </c>
      <c r="F455">
        <v>6</v>
      </c>
      <c r="G455">
        <v>26</v>
      </c>
      <c r="H455">
        <v>3</v>
      </c>
      <c r="I455">
        <v>5</v>
      </c>
      <c r="J455">
        <v>0</v>
      </c>
      <c r="K455">
        <v>0</v>
      </c>
    </row>
    <row r="456" spans="1:11">
      <c r="A456">
        <v>13</v>
      </c>
      <c r="B456">
        <v>1</v>
      </c>
      <c r="C456">
        <v>0</v>
      </c>
      <c r="D456">
        <v>17</v>
      </c>
      <c r="E456">
        <v>0</v>
      </c>
      <c r="F456">
        <v>8.06</v>
      </c>
      <c r="G456">
        <v>36</v>
      </c>
      <c r="H456">
        <v>3</v>
      </c>
      <c r="I456">
        <v>5</v>
      </c>
      <c r="J456">
        <v>0</v>
      </c>
      <c r="K456">
        <v>1</v>
      </c>
    </row>
    <row r="457" spans="1:11">
      <c r="A457">
        <v>16</v>
      </c>
      <c r="B457">
        <v>0</v>
      </c>
      <c r="C457">
        <v>0</v>
      </c>
      <c r="D457">
        <v>5</v>
      </c>
      <c r="E457">
        <v>1</v>
      </c>
      <c r="F457">
        <v>9.24</v>
      </c>
      <c r="G457">
        <v>27</v>
      </c>
      <c r="H457">
        <v>1</v>
      </c>
      <c r="I457">
        <v>5</v>
      </c>
      <c r="J457">
        <v>1</v>
      </c>
      <c r="K457">
        <v>1</v>
      </c>
    </row>
    <row r="458" spans="1:11">
      <c r="A458">
        <v>14</v>
      </c>
      <c r="B458">
        <v>0</v>
      </c>
      <c r="C458">
        <v>1</v>
      </c>
      <c r="D458">
        <v>10</v>
      </c>
      <c r="E458">
        <v>0</v>
      </c>
      <c r="F458">
        <v>12</v>
      </c>
      <c r="G458">
        <v>30</v>
      </c>
      <c r="H458">
        <v>3</v>
      </c>
      <c r="I458">
        <v>5</v>
      </c>
      <c r="J458">
        <v>0</v>
      </c>
      <c r="K458">
        <v>1</v>
      </c>
    </row>
    <row r="459" spans="1:11">
      <c r="A459">
        <v>15</v>
      </c>
      <c r="B459">
        <v>0</v>
      </c>
      <c r="C459">
        <v>1</v>
      </c>
      <c r="D459">
        <v>33</v>
      </c>
      <c r="E459">
        <v>0</v>
      </c>
      <c r="F459">
        <v>10.61</v>
      </c>
      <c r="G459">
        <v>54</v>
      </c>
      <c r="H459">
        <v>3</v>
      </c>
      <c r="I459">
        <v>5</v>
      </c>
      <c r="J459">
        <v>0</v>
      </c>
      <c r="K459">
        <v>0</v>
      </c>
    </row>
    <row r="460" spans="1:11">
      <c r="A460">
        <v>18</v>
      </c>
      <c r="B460">
        <v>0</v>
      </c>
      <c r="C460">
        <v>0</v>
      </c>
      <c r="D460">
        <v>3</v>
      </c>
      <c r="E460">
        <v>0</v>
      </c>
      <c r="F460">
        <v>5.71</v>
      </c>
      <c r="G460">
        <v>27</v>
      </c>
      <c r="H460">
        <v>3</v>
      </c>
      <c r="I460">
        <v>5</v>
      </c>
      <c r="J460">
        <v>0</v>
      </c>
      <c r="K460">
        <v>1</v>
      </c>
    </row>
    <row r="461" spans="1:11">
      <c r="A461">
        <v>16</v>
      </c>
      <c r="B461">
        <v>0</v>
      </c>
      <c r="C461">
        <v>1</v>
      </c>
      <c r="D461">
        <v>0</v>
      </c>
      <c r="E461">
        <v>0</v>
      </c>
      <c r="F461">
        <v>10</v>
      </c>
      <c r="G461">
        <v>18</v>
      </c>
      <c r="H461">
        <v>3</v>
      </c>
      <c r="I461">
        <v>5</v>
      </c>
      <c r="J461">
        <v>0</v>
      </c>
      <c r="K461">
        <v>0</v>
      </c>
    </row>
    <row r="462" spans="1:11">
      <c r="A462">
        <v>16</v>
      </c>
      <c r="B462">
        <v>1</v>
      </c>
      <c r="C462">
        <v>0</v>
      </c>
      <c r="D462">
        <v>13</v>
      </c>
      <c r="E462">
        <v>0</v>
      </c>
      <c r="F462">
        <v>17.5</v>
      </c>
      <c r="G462">
        <v>35</v>
      </c>
      <c r="H462">
        <v>1</v>
      </c>
      <c r="I462">
        <v>5</v>
      </c>
      <c r="J462">
        <v>0</v>
      </c>
      <c r="K462">
        <v>1</v>
      </c>
    </row>
    <row r="463" spans="1:11">
      <c r="A463">
        <v>18</v>
      </c>
      <c r="B463">
        <v>0</v>
      </c>
      <c r="C463">
        <v>0</v>
      </c>
      <c r="D463">
        <v>12</v>
      </c>
      <c r="E463">
        <v>0</v>
      </c>
      <c r="F463">
        <v>15</v>
      </c>
      <c r="G463">
        <v>36</v>
      </c>
      <c r="H463">
        <v>3</v>
      </c>
      <c r="I463">
        <v>5</v>
      </c>
      <c r="J463">
        <v>0</v>
      </c>
      <c r="K463">
        <v>1</v>
      </c>
    </row>
    <row r="464" spans="1:11">
      <c r="A464">
        <v>16</v>
      </c>
      <c r="B464">
        <v>0</v>
      </c>
      <c r="C464">
        <v>1</v>
      </c>
      <c r="D464">
        <v>6</v>
      </c>
      <c r="E464">
        <v>0</v>
      </c>
      <c r="F464">
        <v>7.78</v>
      </c>
      <c r="G464">
        <v>28</v>
      </c>
      <c r="H464">
        <v>3</v>
      </c>
      <c r="I464">
        <v>5</v>
      </c>
      <c r="J464">
        <v>0</v>
      </c>
      <c r="K464">
        <v>1</v>
      </c>
    </row>
    <row r="465" spans="1:11">
      <c r="A465">
        <v>17</v>
      </c>
      <c r="B465">
        <v>0</v>
      </c>
      <c r="C465">
        <v>0</v>
      </c>
      <c r="D465">
        <v>7</v>
      </c>
      <c r="E465">
        <v>0</v>
      </c>
      <c r="F465">
        <v>7.8</v>
      </c>
      <c r="G465">
        <v>30</v>
      </c>
      <c r="H465">
        <v>3</v>
      </c>
      <c r="I465">
        <v>5</v>
      </c>
      <c r="J465">
        <v>0</v>
      </c>
      <c r="K465">
        <v>1</v>
      </c>
    </row>
    <row r="466" spans="1:11">
      <c r="A466">
        <v>16</v>
      </c>
      <c r="B466">
        <v>1</v>
      </c>
      <c r="C466">
        <v>0</v>
      </c>
      <c r="D466">
        <v>14</v>
      </c>
      <c r="E466">
        <v>1</v>
      </c>
      <c r="F466">
        <v>10</v>
      </c>
      <c r="G466">
        <v>36</v>
      </c>
      <c r="H466">
        <v>3</v>
      </c>
      <c r="I466">
        <v>5</v>
      </c>
      <c r="J466">
        <v>0</v>
      </c>
      <c r="K466">
        <v>1</v>
      </c>
    </row>
    <row r="467" spans="1:11">
      <c r="A467">
        <v>17</v>
      </c>
      <c r="B467">
        <v>0</v>
      </c>
      <c r="C467">
        <v>1</v>
      </c>
      <c r="D467">
        <v>5</v>
      </c>
      <c r="E467">
        <v>0</v>
      </c>
      <c r="F467">
        <v>24.98</v>
      </c>
      <c r="G467">
        <v>28</v>
      </c>
      <c r="H467">
        <v>3</v>
      </c>
      <c r="I467">
        <v>5</v>
      </c>
      <c r="J467">
        <v>0</v>
      </c>
      <c r="K467">
        <v>0</v>
      </c>
    </row>
    <row r="468" spans="1:11">
      <c r="A468">
        <v>15</v>
      </c>
      <c r="B468">
        <v>1</v>
      </c>
      <c r="C468">
        <v>1</v>
      </c>
      <c r="D468">
        <v>10</v>
      </c>
      <c r="E468">
        <v>0</v>
      </c>
      <c r="F468">
        <v>10.28</v>
      </c>
      <c r="G468">
        <v>31</v>
      </c>
      <c r="H468">
        <v>3</v>
      </c>
      <c r="I468">
        <v>5</v>
      </c>
      <c r="J468">
        <v>0</v>
      </c>
      <c r="K468">
        <v>1</v>
      </c>
    </row>
    <row r="469" spans="1:11">
      <c r="A469">
        <v>18</v>
      </c>
      <c r="B469">
        <v>0</v>
      </c>
      <c r="C469">
        <v>1</v>
      </c>
      <c r="D469">
        <v>11</v>
      </c>
      <c r="E469">
        <v>0</v>
      </c>
      <c r="F469">
        <v>15</v>
      </c>
      <c r="G469">
        <v>35</v>
      </c>
      <c r="H469">
        <v>3</v>
      </c>
      <c r="I469">
        <v>5</v>
      </c>
      <c r="J469">
        <v>0</v>
      </c>
      <c r="K469">
        <v>1</v>
      </c>
    </row>
    <row r="470" spans="1:11">
      <c r="A470">
        <v>17</v>
      </c>
      <c r="B470">
        <v>0</v>
      </c>
      <c r="C470">
        <v>1</v>
      </c>
      <c r="D470">
        <v>24</v>
      </c>
      <c r="E470">
        <v>0</v>
      </c>
      <c r="F470">
        <v>12</v>
      </c>
      <c r="G470">
        <v>47</v>
      </c>
      <c r="H470">
        <v>3</v>
      </c>
      <c r="I470">
        <v>5</v>
      </c>
      <c r="J470">
        <v>0</v>
      </c>
      <c r="K470">
        <v>1</v>
      </c>
    </row>
    <row r="471" spans="1:11">
      <c r="A471">
        <v>16</v>
      </c>
      <c r="B471">
        <v>0</v>
      </c>
      <c r="C471">
        <v>0</v>
      </c>
      <c r="D471">
        <v>9</v>
      </c>
      <c r="E471">
        <v>0</v>
      </c>
      <c r="F471">
        <v>10.58</v>
      </c>
      <c r="G471">
        <v>31</v>
      </c>
      <c r="H471">
        <v>3</v>
      </c>
      <c r="I471">
        <v>5</v>
      </c>
      <c r="J471">
        <v>1</v>
      </c>
      <c r="K471">
        <v>0</v>
      </c>
    </row>
    <row r="472" spans="1:11">
      <c r="A472">
        <v>18</v>
      </c>
      <c r="B472">
        <v>1</v>
      </c>
      <c r="C472">
        <v>0</v>
      </c>
      <c r="D472">
        <v>12</v>
      </c>
      <c r="E472">
        <v>0</v>
      </c>
      <c r="F472">
        <v>5.85</v>
      </c>
      <c r="G472">
        <v>36</v>
      </c>
      <c r="H472">
        <v>3</v>
      </c>
      <c r="I472">
        <v>5</v>
      </c>
      <c r="J472">
        <v>0</v>
      </c>
      <c r="K472">
        <v>1</v>
      </c>
    </row>
    <row r="473" spans="1:11">
      <c r="A473">
        <v>18</v>
      </c>
      <c r="B473">
        <v>0</v>
      </c>
      <c r="C473">
        <v>0</v>
      </c>
      <c r="D473">
        <v>19</v>
      </c>
      <c r="E473">
        <v>0</v>
      </c>
      <c r="F473">
        <v>11.22</v>
      </c>
      <c r="G473">
        <v>43</v>
      </c>
      <c r="H473">
        <v>3</v>
      </c>
      <c r="I473">
        <v>5</v>
      </c>
      <c r="J473">
        <v>0</v>
      </c>
      <c r="K473">
        <v>1</v>
      </c>
    </row>
    <row r="474" spans="1:11">
      <c r="A474">
        <v>14</v>
      </c>
      <c r="B474">
        <v>0</v>
      </c>
      <c r="C474">
        <v>1</v>
      </c>
      <c r="D474">
        <v>14</v>
      </c>
      <c r="E474">
        <v>0</v>
      </c>
      <c r="F474">
        <v>8.56</v>
      </c>
      <c r="G474">
        <v>34</v>
      </c>
      <c r="H474">
        <v>3</v>
      </c>
      <c r="I474">
        <v>5</v>
      </c>
      <c r="J474">
        <v>0</v>
      </c>
      <c r="K474">
        <v>1</v>
      </c>
    </row>
    <row r="475" spans="1:11">
      <c r="A475">
        <v>16</v>
      </c>
      <c r="B475">
        <v>0</v>
      </c>
      <c r="C475">
        <v>1</v>
      </c>
      <c r="D475">
        <v>17</v>
      </c>
      <c r="E475">
        <v>0</v>
      </c>
      <c r="F475">
        <v>13.89</v>
      </c>
      <c r="G475">
        <v>39</v>
      </c>
      <c r="H475">
        <v>3</v>
      </c>
      <c r="I475">
        <v>5</v>
      </c>
      <c r="J475">
        <v>1</v>
      </c>
      <c r="K475">
        <v>0</v>
      </c>
    </row>
    <row r="476" spans="1:11">
      <c r="A476">
        <v>18</v>
      </c>
      <c r="B476">
        <v>1</v>
      </c>
      <c r="C476">
        <v>0</v>
      </c>
      <c r="D476">
        <v>7</v>
      </c>
      <c r="E476">
        <v>0</v>
      </c>
      <c r="F476">
        <v>5.71</v>
      </c>
      <c r="G476">
        <v>31</v>
      </c>
      <c r="H476">
        <v>3</v>
      </c>
      <c r="I476">
        <v>5</v>
      </c>
      <c r="J476">
        <v>0</v>
      </c>
      <c r="K476">
        <v>0</v>
      </c>
    </row>
    <row r="477" spans="1:11">
      <c r="A477">
        <v>18</v>
      </c>
      <c r="B477">
        <v>0</v>
      </c>
      <c r="C477">
        <v>0</v>
      </c>
      <c r="D477">
        <v>7</v>
      </c>
      <c r="E477">
        <v>0</v>
      </c>
      <c r="F477">
        <v>15.79</v>
      </c>
      <c r="G477">
        <v>31</v>
      </c>
      <c r="H477">
        <v>3</v>
      </c>
      <c r="I477">
        <v>5</v>
      </c>
      <c r="J477">
        <v>0</v>
      </c>
      <c r="K477">
        <v>1</v>
      </c>
    </row>
    <row r="478" spans="1:11">
      <c r="A478">
        <v>16</v>
      </c>
      <c r="B478">
        <v>0</v>
      </c>
      <c r="C478">
        <v>1</v>
      </c>
      <c r="D478">
        <v>22</v>
      </c>
      <c r="E478">
        <v>0</v>
      </c>
      <c r="F478">
        <v>7.5</v>
      </c>
      <c r="G478">
        <v>44</v>
      </c>
      <c r="H478">
        <v>3</v>
      </c>
      <c r="I478">
        <v>5</v>
      </c>
      <c r="J478">
        <v>0</v>
      </c>
      <c r="K478">
        <v>1</v>
      </c>
    </row>
    <row r="479" spans="1:11">
      <c r="A479">
        <v>12</v>
      </c>
      <c r="B479">
        <v>0</v>
      </c>
      <c r="C479">
        <v>1</v>
      </c>
      <c r="D479">
        <v>28</v>
      </c>
      <c r="E479">
        <v>0</v>
      </c>
      <c r="F479">
        <v>11.25</v>
      </c>
      <c r="G479">
        <v>46</v>
      </c>
      <c r="H479">
        <v>3</v>
      </c>
      <c r="I479">
        <v>5</v>
      </c>
      <c r="J479">
        <v>0</v>
      </c>
      <c r="K479">
        <v>1</v>
      </c>
    </row>
    <row r="480" spans="1:11">
      <c r="A480">
        <v>16</v>
      </c>
      <c r="B480">
        <v>0</v>
      </c>
      <c r="C480">
        <v>1</v>
      </c>
      <c r="D480">
        <v>16</v>
      </c>
      <c r="E480">
        <v>0</v>
      </c>
      <c r="F480">
        <v>6.15</v>
      </c>
      <c r="G480">
        <v>38</v>
      </c>
      <c r="H480">
        <v>3</v>
      </c>
      <c r="I480">
        <v>5</v>
      </c>
      <c r="J480">
        <v>0</v>
      </c>
      <c r="K480">
        <v>0</v>
      </c>
    </row>
    <row r="481" spans="1:11">
      <c r="A481">
        <v>16</v>
      </c>
      <c r="B481">
        <v>1</v>
      </c>
      <c r="C481">
        <v>0</v>
      </c>
      <c r="D481">
        <v>16</v>
      </c>
      <c r="E481">
        <v>0</v>
      </c>
      <c r="F481">
        <v>13.45</v>
      </c>
      <c r="G481">
        <v>38</v>
      </c>
      <c r="H481">
        <v>1</v>
      </c>
      <c r="I481">
        <v>5</v>
      </c>
      <c r="J481">
        <v>0</v>
      </c>
      <c r="K481">
        <v>0</v>
      </c>
    </row>
    <row r="482" spans="1:11">
      <c r="A482">
        <v>16</v>
      </c>
      <c r="B482">
        <v>0</v>
      </c>
      <c r="C482">
        <v>1</v>
      </c>
      <c r="D482">
        <v>7</v>
      </c>
      <c r="E482">
        <v>0</v>
      </c>
      <c r="F482">
        <v>6.25</v>
      </c>
      <c r="G482">
        <v>29</v>
      </c>
      <c r="H482">
        <v>3</v>
      </c>
      <c r="I482">
        <v>5</v>
      </c>
      <c r="J482">
        <v>0</v>
      </c>
      <c r="K482">
        <v>1</v>
      </c>
    </row>
    <row r="483" spans="1:11">
      <c r="A483">
        <v>12</v>
      </c>
      <c r="B483">
        <v>0</v>
      </c>
      <c r="C483">
        <v>1</v>
      </c>
      <c r="D483">
        <v>11</v>
      </c>
      <c r="E483">
        <v>0</v>
      </c>
      <c r="F483">
        <v>6.5</v>
      </c>
      <c r="G483">
        <v>29</v>
      </c>
      <c r="H483">
        <v>3</v>
      </c>
      <c r="I483">
        <v>5</v>
      </c>
      <c r="J483">
        <v>0</v>
      </c>
      <c r="K483">
        <v>0</v>
      </c>
    </row>
    <row r="484" spans="1:11">
      <c r="A484">
        <v>12</v>
      </c>
      <c r="B484">
        <v>0</v>
      </c>
      <c r="C484">
        <v>1</v>
      </c>
      <c r="D484">
        <v>11</v>
      </c>
      <c r="E484">
        <v>0</v>
      </c>
      <c r="F484">
        <v>12</v>
      </c>
      <c r="G484">
        <v>29</v>
      </c>
      <c r="H484">
        <v>3</v>
      </c>
      <c r="I484">
        <v>5</v>
      </c>
      <c r="J484">
        <v>0</v>
      </c>
      <c r="K484">
        <v>1</v>
      </c>
    </row>
    <row r="485" spans="1:11">
      <c r="A485">
        <v>12</v>
      </c>
      <c r="B485">
        <v>0</v>
      </c>
      <c r="C485">
        <v>1</v>
      </c>
      <c r="D485">
        <v>16</v>
      </c>
      <c r="E485">
        <v>0</v>
      </c>
      <c r="F485">
        <v>8.5</v>
      </c>
      <c r="G485">
        <v>34</v>
      </c>
      <c r="H485">
        <v>3</v>
      </c>
      <c r="I485">
        <v>5</v>
      </c>
      <c r="J485">
        <v>0</v>
      </c>
      <c r="K485">
        <v>0</v>
      </c>
    </row>
    <row r="486" spans="1:11">
      <c r="A486">
        <v>18</v>
      </c>
      <c r="B486">
        <v>0</v>
      </c>
      <c r="C486">
        <v>0</v>
      </c>
      <c r="D486">
        <v>33</v>
      </c>
      <c r="E486">
        <v>1</v>
      </c>
      <c r="F486">
        <v>8</v>
      </c>
      <c r="G486">
        <v>57</v>
      </c>
      <c r="H486">
        <v>3</v>
      </c>
      <c r="I486">
        <v>5</v>
      </c>
      <c r="J486">
        <v>0</v>
      </c>
      <c r="K486">
        <v>0</v>
      </c>
    </row>
    <row r="487" spans="1:11">
      <c r="A487">
        <v>12</v>
      </c>
      <c r="B487">
        <v>1</v>
      </c>
      <c r="C487">
        <v>1</v>
      </c>
      <c r="D487">
        <v>21</v>
      </c>
      <c r="E487">
        <v>0</v>
      </c>
      <c r="F487">
        <v>5.75</v>
      </c>
      <c r="G487">
        <v>39</v>
      </c>
      <c r="H487">
        <v>3</v>
      </c>
      <c r="I487">
        <v>5</v>
      </c>
      <c r="J487">
        <v>0</v>
      </c>
      <c r="K487">
        <v>1</v>
      </c>
    </row>
    <row r="488" spans="1:11">
      <c r="A488">
        <v>16</v>
      </c>
      <c r="B488">
        <v>0</v>
      </c>
      <c r="C488">
        <v>0</v>
      </c>
      <c r="D488">
        <v>4</v>
      </c>
      <c r="E488">
        <v>0</v>
      </c>
      <c r="F488">
        <v>15.73</v>
      </c>
      <c r="G488">
        <v>26</v>
      </c>
      <c r="H488">
        <v>3</v>
      </c>
      <c r="I488">
        <v>5</v>
      </c>
      <c r="J488">
        <v>1</v>
      </c>
      <c r="K488">
        <v>1</v>
      </c>
    </row>
    <row r="489" spans="1:11">
      <c r="A489">
        <v>15</v>
      </c>
      <c r="B489">
        <v>0</v>
      </c>
      <c r="C489">
        <v>0</v>
      </c>
      <c r="D489">
        <v>13</v>
      </c>
      <c r="E489">
        <v>0</v>
      </c>
      <c r="F489">
        <v>9.86</v>
      </c>
      <c r="G489">
        <v>34</v>
      </c>
      <c r="H489">
        <v>3</v>
      </c>
      <c r="I489">
        <v>5</v>
      </c>
      <c r="J489">
        <v>0</v>
      </c>
      <c r="K489">
        <v>1</v>
      </c>
    </row>
    <row r="490" spans="1:11">
      <c r="A490">
        <v>18</v>
      </c>
      <c r="B490">
        <v>0</v>
      </c>
      <c r="C490">
        <v>0</v>
      </c>
      <c r="D490">
        <v>14</v>
      </c>
      <c r="E490">
        <v>1</v>
      </c>
      <c r="F490">
        <v>13.51</v>
      </c>
      <c r="G490">
        <v>38</v>
      </c>
      <c r="H490">
        <v>3</v>
      </c>
      <c r="I490">
        <v>5</v>
      </c>
      <c r="J490">
        <v>0</v>
      </c>
      <c r="K490">
        <v>1</v>
      </c>
    </row>
    <row r="491" spans="1:11">
      <c r="A491">
        <v>16</v>
      </c>
      <c r="B491">
        <v>0</v>
      </c>
      <c r="C491">
        <v>1</v>
      </c>
      <c r="D491">
        <v>10</v>
      </c>
      <c r="E491">
        <v>0</v>
      </c>
      <c r="F491">
        <v>5.4</v>
      </c>
      <c r="G491">
        <v>32</v>
      </c>
      <c r="H491">
        <v>3</v>
      </c>
      <c r="I491">
        <v>5</v>
      </c>
      <c r="J491">
        <v>0</v>
      </c>
      <c r="K491">
        <v>1</v>
      </c>
    </row>
    <row r="492" spans="1:11">
      <c r="A492">
        <v>18</v>
      </c>
      <c r="B492">
        <v>1</v>
      </c>
      <c r="C492">
        <v>0</v>
      </c>
      <c r="D492">
        <v>14</v>
      </c>
      <c r="E492">
        <v>0</v>
      </c>
      <c r="F492">
        <v>6.25</v>
      </c>
      <c r="G492">
        <v>38</v>
      </c>
      <c r="H492">
        <v>3</v>
      </c>
      <c r="I492">
        <v>5</v>
      </c>
      <c r="J492">
        <v>0</v>
      </c>
      <c r="K492">
        <v>1</v>
      </c>
    </row>
    <row r="493" spans="1:11">
      <c r="A493">
        <v>16</v>
      </c>
      <c r="B493">
        <v>1</v>
      </c>
      <c r="C493">
        <v>0</v>
      </c>
      <c r="D493">
        <v>29</v>
      </c>
      <c r="E493">
        <v>0</v>
      </c>
      <c r="F493">
        <v>5.5</v>
      </c>
      <c r="G493">
        <v>51</v>
      </c>
      <c r="H493">
        <v>3</v>
      </c>
      <c r="I493">
        <v>5</v>
      </c>
      <c r="J493">
        <v>0</v>
      </c>
      <c r="K493">
        <v>1</v>
      </c>
    </row>
    <row r="494" spans="1:11">
      <c r="A494">
        <v>12</v>
      </c>
      <c r="B494">
        <v>0</v>
      </c>
      <c r="C494">
        <v>0</v>
      </c>
      <c r="D494">
        <v>4</v>
      </c>
      <c r="E494">
        <v>0</v>
      </c>
      <c r="F494">
        <v>5</v>
      </c>
      <c r="G494">
        <v>22</v>
      </c>
      <c r="H494">
        <v>2</v>
      </c>
      <c r="I494">
        <v>5</v>
      </c>
      <c r="J494">
        <v>0</v>
      </c>
      <c r="K494">
        <v>0</v>
      </c>
    </row>
    <row r="495" spans="1:11">
      <c r="A495">
        <v>18</v>
      </c>
      <c r="B495">
        <v>0</v>
      </c>
      <c r="C495">
        <v>0</v>
      </c>
      <c r="D495">
        <v>27</v>
      </c>
      <c r="E495">
        <v>0</v>
      </c>
      <c r="F495">
        <v>6.25</v>
      </c>
      <c r="G495">
        <v>51</v>
      </c>
      <c r="H495">
        <v>1</v>
      </c>
      <c r="I495">
        <v>5</v>
      </c>
      <c r="J495">
        <v>0</v>
      </c>
      <c r="K495">
        <v>1</v>
      </c>
    </row>
    <row r="496" spans="1:11">
      <c r="A496">
        <v>12</v>
      </c>
      <c r="B496">
        <v>0</v>
      </c>
      <c r="C496">
        <v>0</v>
      </c>
      <c r="D496">
        <v>3</v>
      </c>
      <c r="E496">
        <v>0</v>
      </c>
      <c r="F496">
        <v>5.75</v>
      </c>
      <c r="G496">
        <v>21</v>
      </c>
      <c r="H496">
        <v>3</v>
      </c>
      <c r="I496">
        <v>5</v>
      </c>
      <c r="J496">
        <v>0</v>
      </c>
      <c r="K496">
        <v>1</v>
      </c>
    </row>
    <row r="497" spans="1:11">
      <c r="A497">
        <v>16</v>
      </c>
      <c r="B497">
        <v>1</v>
      </c>
      <c r="C497">
        <v>0</v>
      </c>
      <c r="D497">
        <v>14</v>
      </c>
      <c r="E497">
        <v>1</v>
      </c>
      <c r="F497">
        <v>20.5</v>
      </c>
      <c r="G497">
        <v>36</v>
      </c>
      <c r="H497">
        <v>3</v>
      </c>
      <c r="I497">
        <v>5</v>
      </c>
      <c r="J497">
        <v>0</v>
      </c>
      <c r="K497">
        <v>1</v>
      </c>
    </row>
    <row r="498" spans="1:11">
      <c r="A498">
        <v>14</v>
      </c>
      <c r="B498">
        <v>0</v>
      </c>
      <c r="C498">
        <v>0</v>
      </c>
      <c r="D498">
        <v>0</v>
      </c>
      <c r="E498">
        <v>0</v>
      </c>
      <c r="F498">
        <v>5</v>
      </c>
      <c r="G498">
        <v>20</v>
      </c>
      <c r="H498">
        <v>3</v>
      </c>
      <c r="I498">
        <v>5</v>
      </c>
      <c r="J498">
        <v>2</v>
      </c>
      <c r="K498">
        <v>1</v>
      </c>
    </row>
    <row r="499" spans="1:11">
      <c r="A499">
        <v>18</v>
      </c>
      <c r="B499">
        <v>0</v>
      </c>
      <c r="C499">
        <v>0</v>
      </c>
      <c r="D499">
        <v>33</v>
      </c>
      <c r="E499">
        <v>0</v>
      </c>
      <c r="F499">
        <v>7</v>
      </c>
      <c r="G499">
        <v>57</v>
      </c>
      <c r="H499">
        <v>3</v>
      </c>
      <c r="I499">
        <v>5</v>
      </c>
      <c r="J499">
        <v>0</v>
      </c>
      <c r="K499">
        <v>1</v>
      </c>
    </row>
    <row r="500" spans="1:11">
      <c r="A500">
        <v>16</v>
      </c>
      <c r="B500">
        <v>1</v>
      </c>
      <c r="C500">
        <v>0</v>
      </c>
      <c r="D500">
        <v>38</v>
      </c>
      <c r="E500">
        <v>0</v>
      </c>
      <c r="F500">
        <v>18</v>
      </c>
      <c r="G500">
        <v>60</v>
      </c>
      <c r="H500">
        <v>3</v>
      </c>
      <c r="I500">
        <v>5</v>
      </c>
      <c r="J500">
        <v>0</v>
      </c>
      <c r="K500">
        <v>1</v>
      </c>
    </row>
    <row r="501" spans="1:11">
      <c r="A501">
        <v>18</v>
      </c>
      <c r="B501">
        <v>0</v>
      </c>
      <c r="C501">
        <v>1</v>
      </c>
      <c r="D501">
        <v>18</v>
      </c>
      <c r="E501">
        <v>1</v>
      </c>
      <c r="F501">
        <v>12</v>
      </c>
      <c r="G501">
        <v>42</v>
      </c>
      <c r="H501">
        <v>3</v>
      </c>
      <c r="I501">
        <v>5</v>
      </c>
      <c r="J501">
        <v>0</v>
      </c>
      <c r="K501">
        <v>1</v>
      </c>
    </row>
    <row r="502" spans="1:11">
      <c r="A502">
        <v>17</v>
      </c>
      <c r="B502">
        <v>0</v>
      </c>
      <c r="C502">
        <v>0</v>
      </c>
      <c r="D502">
        <v>3</v>
      </c>
      <c r="E502">
        <v>0</v>
      </c>
      <c r="F502">
        <v>20.399999999999999</v>
      </c>
      <c r="G502">
        <v>26</v>
      </c>
      <c r="H502">
        <v>3</v>
      </c>
      <c r="I502">
        <v>5</v>
      </c>
      <c r="J502">
        <v>1</v>
      </c>
      <c r="K502">
        <v>0</v>
      </c>
    </row>
    <row r="503" spans="1:11">
      <c r="A503">
        <v>18</v>
      </c>
      <c r="B503">
        <v>0</v>
      </c>
      <c r="C503">
        <v>1</v>
      </c>
      <c r="D503">
        <v>40</v>
      </c>
      <c r="E503">
        <v>0</v>
      </c>
      <c r="F503">
        <v>22.2</v>
      </c>
      <c r="G503">
        <v>64</v>
      </c>
      <c r="H503">
        <v>3</v>
      </c>
      <c r="I503">
        <v>5</v>
      </c>
      <c r="J503">
        <v>0</v>
      </c>
      <c r="K503">
        <v>0</v>
      </c>
    </row>
    <row r="504" spans="1:11">
      <c r="A504">
        <v>14</v>
      </c>
      <c r="B504">
        <v>0</v>
      </c>
      <c r="C504">
        <v>0</v>
      </c>
      <c r="D504">
        <v>19</v>
      </c>
      <c r="E504">
        <v>0</v>
      </c>
      <c r="F504">
        <v>16.420000000000002</v>
      </c>
      <c r="G504">
        <v>39</v>
      </c>
      <c r="H504">
        <v>3</v>
      </c>
      <c r="I504">
        <v>5</v>
      </c>
      <c r="J504">
        <v>1</v>
      </c>
      <c r="K504">
        <v>0</v>
      </c>
    </row>
    <row r="505" spans="1:11">
      <c r="A505">
        <v>14</v>
      </c>
      <c r="B505">
        <v>0</v>
      </c>
      <c r="C505">
        <v>1</v>
      </c>
      <c r="D505">
        <v>4</v>
      </c>
      <c r="E505">
        <v>0</v>
      </c>
      <c r="F505">
        <v>8.6300000000000008</v>
      </c>
      <c r="G505">
        <v>24</v>
      </c>
      <c r="H505">
        <v>3</v>
      </c>
      <c r="I505">
        <v>5</v>
      </c>
      <c r="J505">
        <v>0</v>
      </c>
      <c r="K505">
        <v>0</v>
      </c>
    </row>
    <row r="506" spans="1:11">
      <c r="A506">
        <v>16</v>
      </c>
      <c r="B506">
        <v>0</v>
      </c>
      <c r="C506">
        <v>1</v>
      </c>
      <c r="D506">
        <v>11</v>
      </c>
      <c r="E506">
        <v>0</v>
      </c>
      <c r="F506">
        <v>19.38</v>
      </c>
      <c r="G506">
        <v>33</v>
      </c>
      <c r="H506">
        <v>3</v>
      </c>
      <c r="I506">
        <v>5</v>
      </c>
      <c r="J506">
        <v>0</v>
      </c>
      <c r="K506">
        <v>1</v>
      </c>
    </row>
    <row r="507" spans="1:11">
      <c r="A507">
        <v>16</v>
      </c>
      <c r="B507">
        <v>0</v>
      </c>
      <c r="C507">
        <v>1</v>
      </c>
      <c r="D507">
        <v>16</v>
      </c>
      <c r="E507">
        <v>0</v>
      </c>
      <c r="F507">
        <v>14</v>
      </c>
      <c r="G507">
        <v>38</v>
      </c>
      <c r="H507">
        <v>3</v>
      </c>
      <c r="I507">
        <v>5</v>
      </c>
      <c r="J507">
        <v>0</v>
      </c>
      <c r="K507">
        <v>1</v>
      </c>
    </row>
    <row r="508" spans="1:11">
      <c r="A508">
        <v>14</v>
      </c>
      <c r="B508">
        <v>0</v>
      </c>
      <c r="C508">
        <v>0</v>
      </c>
      <c r="D508">
        <v>22</v>
      </c>
      <c r="E508">
        <v>0</v>
      </c>
      <c r="F508">
        <v>10</v>
      </c>
      <c r="G508">
        <v>42</v>
      </c>
      <c r="H508">
        <v>3</v>
      </c>
      <c r="I508">
        <v>5</v>
      </c>
      <c r="J508">
        <v>0</v>
      </c>
      <c r="K508">
        <v>1</v>
      </c>
    </row>
    <row r="509" spans="1:11">
      <c r="A509">
        <v>17</v>
      </c>
      <c r="B509">
        <v>0</v>
      </c>
      <c r="C509">
        <v>1</v>
      </c>
      <c r="D509">
        <v>13</v>
      </c>
      <c r="E509">
        <v>1</v>
      </c>
      <c r="F509">
        <v>15.95</v>
      </c>
      <c r="G509">
        <v>36</v>
      </c>
      <c r="H509">
        <v>3</v>
      </c>
      <c r="I509">
        <v>5</v>
      </c>
      <c r="J509">
        <v>0</v>
      </c>
      <c r="K509">
        <v>0</v>
      </c>
    </row>
    <row r="510" spans="1:11">
      <c r="A510">
        <v>16</v>
      </c>
      <c r="B510">
        <v>1</v>
      </c>
      <c r="C510">
        <v>1</v>
      </c>
      <c r="D510">
        <v>28</v>
      </c>
      <c r="E510">
        <v>1</v>
      </c>
      <c r="F510">
        <v>20</v>
      </c>
      <c r="G510">
        <v>50</v>
      </c>
      <c r="H510">
        <v>3</v>
      </c>
      <c r="I510">
        <v>5</v>
      </c>
      <c r="J510">
        <v>0</v>
      </c>
      <c r="K510">
        <v>1</v>
      </c>
    </row>
    <row r="511" spans="1:11">
      <c r="A511">
        <v>16</v>
      </c>
      <c r="B511">
        <v>0</v>
      </c>
      <c r="C511">
        <v>1</v>
      </c>
      <c r="D511">
        <v>10</v>
      </c>
      <c r="E511">
        <v>0</v>
      </c>
      <c r="F511">
        <v>10</v>
      </c>
      <c r="G511">
        <v>32</v>
      </c>
      <c r="H511">
        <v>3</v>
      </c>
      <c r="I511">
        <v>5</v>
      </c>
      <c r="J511">
        <v>0</v>
      </c>
      <c r="K511">
        <v>1</v>
      </c>
    </row>
    <row r="512" spans="1:11">
      <c r="A512">
        <v>16</v>
      </c>
      <c r="B512">
        <v>1</v>
      </c>
      <c r="C512">
        <v>1</v>
      </c>
      <c r="D512">
        <v>5</v>
      </c>
      <c r="E512">
        <v>0</v>
      </c>
      <c r="F512">
        <v>24.98</v>
      </c>
      <c r="G512">
        <v>27</v>
      </c>
      <c r="H512">
        <v>3</v>
      </c>
      <c r="I512">
        <v>5</v>
      </c>
      <c r="J512">
        <v>0</v>
      </c>
      <c r="K512">
        <v>0</v>
      </c>
    </row>
    <row r="513" spans="1:11">
      <c r="A513">
        <v>15</v>
      </c>
      <c r="B513">
        <v>0</v>
      </c>
      <c r="C513">
        <v>0</v>
      </c>
      <c r="D513">
        <v>5</v>
      </c>
      <c r="E513">
        <v>0</v>
      </c>
      <c r="F513">
        <v>11.25</v>
      </c>
      <c r="G513">
        <v>26</v>
      </c>
      <c r="H513">
        <v>3</v>
      </c>
      <c r="I513">
        <v>5</v>
      </c>
      <c r="J513">
        <v>0</v>
      </c>
      <c r="K513">
        <v>0</v>
      </c>
    </row>
    <row r="514" spans="1:11">
      <c r="A514">
        <v>18</v>
      </c>
      <c r="B514">
        <v>0</v>
      </c>
      <c r="C514">
        <v>1</v>
      </c>
      <c r="D514">
        <v>37</v>
      </c>
      <c r="E514">
        <v>0</v>
      </c>
      <c r="F514">
        <v>22.83</v>
      </c>
      <c r="G514">
        <v>61</v>
      </c>
      <c r="H514">
        <v>3</v>
      </c>
      <c r="I514">
        <v>5</v>
      </c>
      <c r="J514">
        <v>1</v>
      </c>
      <c r="K514">
        <v>0</v>
      </c>
    </row>
    <row r="515" spans="1:11">
      <c r="A515">
        <v>17</v>
      </c>
      <c r="B515">
        <v>0</v>
      </c>
      <c r="C515">
        <v>1</v>
      </c>
      <c r="D515">
        <v>26</v>
      </c>
      <c r="E515">
        <v>1</v>
      </c>
      <c r="F515">
        <v>10.199999999999999</v>
      </c>
      <c r="G515">
        <v>49</v>
      </c>
      <c r="H515">
        <v>3</v>
      </c>
      <c r="I515">
        <v>5</v>
      </c>
      <c r="J515">
        <v>0</v>
      </c>
      <c r="K515">
        <v>1</v>
      </c>
    </row>
    <row r="516" spans="1:11">
      <c r="A516">
        <v>16</v>
      </c>
      <c r="B516">
        <v>1</v>
      </c>
      <c r="C516">
        <v>1</v>
      </c>
      <c r="D516">
        <v>4</v>
      </c>
      <c r="E516">
        <v>0</v>
      </c>
      <c r="F516">
        <v>10</v>
      </c>
      <c r="G516">
        <v>26</v>
      </c>
      <c r="H516">
        <v>3</v>
      </c>
      <c r="I516">
        <v>5</v>
      </c>
      <c r="J516">
        <v>0</v>
      </c>
      <c r="K516">
        <v>1</v>
      </c>
    </row>
    <row r="517" spans="1:11">
      <c r="A517">
        <v>18</v>
      </c>
      <c r="B517">
        <v>0</v>
      </c>
      <c r="C517">
        <v>1</v>
      </c>
      <c r="D517">
        <v>31</v>
      </c>
      <c r="E517">
        <v>1</v>
      </c>
      <c r="F517">
        <v>14</v>
      </c>
      <c r="G517">
        <v>55</v>
      </c>
      <c r="H517">
        <v>3</v>
      </c>
      <c r="I517">
        <v>5</v>
      </c>
      <c r="J517">
        <v>0</v>
      </c>
      <c r="K517">
        <v>0</v>
      </c>
    </row>
    <row r="518" spans="1:11">
      <c r="A518">
        <v>17</v>
      </c>
      <c r="B518">
        <v>0</v>
      </c>
      <c r="C518">
        <v>1</v>
      </c>
      <c r="D518">
        <v>13</v>
      </c>
      <c r="E518">
        <v>1</v>
      </c>
      <c r="F518">
        <v>12.5</v>
      </c>
      <c r="G518">
        <v>36</v>
      </c>
      <c r="H518">
        <v>3</v>
      </c>
      <c r="I518">
        <v>5</v>
      </c>
      <c r="J518">
        <v>0</v>
      </c>
      <c r="K518">
        <v>1</v>
      </c>
    </row>
    <row r="519" spans="1:11">
      <c r="A519">
        <v>12</v>
      </c>
      <c r="B519">
        <v>0</v>
      </c>
      <c r="C519">
        <v>1</v>
      </c>
      <c r="D519">
        <v>42</v>
      </c>
      <c r="E519">
        <v>0</v>
      </c>
      <c r="F519">
        <v>5.79</v>
      </c>
      <c r="G519">
        <v>60</v>
      </c>
      <c r="H519">
        <v>3</v>
      </c>
      <c r="I519">
        <v>5</v>
      </c>
      <c r="J519">
        <v>0</v>
      </c>
      <c r="K519">
        <v>1</v>
      </c>
    </row>
    <row r="520" spans="1:11">
      <c r="A520">
        <v>17</v>
      </c>
      <c r="B520">
        <v>0</v>
      </c>
      <c r="C520">
        <v>0</v>
      </c>
      <c r="D520">
        <v>18</v>
      </c>
      <c r="E520">
        <v>0</v>
      </c>
      <c r="F520">
        <v>24.98</v>
      </c>
      <c r="G520">
        <v>41</v>
      </c>
      <c r="H520">
        <v>2</v>
      </c>
      <c r="I520">
        <v>5</v>
      </c>
      <c r="J520">
        <v>0</v>
      </c>
      <c r="K520">
        <v>1</v>
      </c>
    </row>
    <row r="521" spans="1:11">
      <c r="A521">
        <v>12</v>
      </c>
      <c r="B521">
        <v>0</v>
      </c>
      <c r="C521">
        <v>1</v>
      </c>
      <c r="D521">
        <v>3</v>
      </c>
      <c r="E521">
        <v>0</v>
      </c>
      <c r="F521">
        <v>4.3499999999999996</v>
      </c>
      <c r="G521">
        <v>21</v>
      </c>
      <c r="H521">
        <v>3</v>
      </c>
      <c r="I521">
        <v>5</v>
      </c>
      <c r="J521">
        <v>0</v>
      </c>
      <c r="K521">
        <v>1</v>
      </c>
    </row>
    <row r="522" spans="1:11">
      <c r="A522">
        <v>17</v>
      </c>
      <c r="B522">
        <v>0</v>
      </c>
      <c r="C522">
        <v>1</v>
      </c>
      <c r="D522">
        <v>10</v>
      </c>
      <c r="E522">
        <v>0</v>
      </c>
      <c r="F522">
        <v>11.25</v>
      </c>
      <c r="G522">
        <v>33</v>
      </c>
      <c r="H522">
        <v>3</v>
      </c>
      <c r="I522">
        <v>5</v>
      </c>
      <c r="J522">
        <v>0</v>
      </c>
      <c r="K522">
        <v>0</v>
      </c>
    </row>
    <row r="523" spans="1:11">
      <c r="A523">
        <v>16</v>
      </c>
      <c r="B523">
        <v>0</v>
      </c>
      <c r="C523">
        <v>1</v>
      </c>
      <c r="D523">
        <v>10</v>
      </c>
      <c r="E523">
        <v>1</v>
      </c>
      <c r="F523">
        <v>6.67</v>
      </c>
      <c r="G523">
        <v>32</v>
      </c>
      <c r="H523">
        <v>3</v>
      </c>
      <c r="I523">
        <v>5</v>
      </c>
      <c r="J523">
        <v>0</v>
      </c>
      <c r="K523">
        <v>0</v>
      </c>
    </row>
    <row r="524" spans="1:11">
      <c r="A524">
        <v>16</v>
      </c>
      <c r="B524">
        <v>0</v>
      </c>
      <c r="C524">
        <v>1</v>
      </c>
      <c r="D524">
        <v>17</v>
      </c>
      <c r="E524">
        <v>0</v>
      </c>
      <c r="F524">
        <v>8</v>
      </c>
      <c r="G524">
        <v>39</v>
      </c>
      <c r="H524">
        <v>2</v>
      </c>
      <c r="I524">
        <v>5</v>
      </c>
      <c r="J524">
        <v>0</v>
      </c>
      <c r="K524">
        <v>1</v>
      </c>
    </row>
    <row r="525" spans="1:11">
      <c r="A525">
        <v>18</v>
      </c>
      <c r="B525">
        <v>0</v>
      </c>
      <c r="C525">
        <v>0</v>
      </c>
      <c r="D525">
        <v>7</v>
      </c>
      <c r="E525">
        <v>0</v>
      </c>
      <c r="F525">
        <v>18.16</v>
      </c>
      <c r="G525">
        <v>31</v>
      </c>
      <c r="H525">
        <v>3</v>
      </c>
      <c r="I525">
        <v>5</v>
      </c>
      <c r="J525">
        <v>0</v>
      </c>
      <c r="K525">
        <v>1</v>
      </c>
    </row>
    <row r="526" spans="1:11">
      <c r="A526">
        <v>16</v>
      </c>
      <c r="B526">
        <v>0</v>
      </c>
      <c r="C526">
        <v>1</v>
      </c>
      <c r="D526">
        <v>14</v>
      </c>
      <c r="E526">
        <v>0</v>
      </c>
      <c r="F526">
        <v>12</v>
      </c>
      <c r="G526">
        <v>36</v>
      </c>
      <c r="H526">
        <v>3</v>
      </c>
      <c r="I526">
        <v>5</v>
      </c>
      <c r="J526">
        <v>0</v>
      </c>
      <c r="K526">
        <v>1</v>
      </c>
    </row>
    <row r="527" spans="1:11">
      <c r="A527">
        <v>16</v>
      </c>
      <c r="B527">
        <v>0</v>
      </c>
      <c r="C527">
        <v>1</v>
      </c>
      <c r="D527">
        <v>22</v>
      </c>
      <c r="E527">
        <v>1</v>
      </c>
      <c r="F527">
        <v>8.89</v>
      </c>
      <c r="G527">
        <v>44</v>
      </c>
      <c r="H527">
        <v>3</v>
      </c>
      <c r="I527">
        <v>5</v>
      </c>
      <c r="J527">
        <v>0</v>
      </c>
      <c r="K527">
        <v>1</v>
      </c>
    </row>
    <row r="528" spans="1:11">
      <c r="A528">
        <v>17</v>
      </c>
      <c r="B528">
        <v>0</v>
      </c>
      <c r="C528">
        <v>1</v>
      </c>
      <c r="D528">
        <v>14</v>
      </c>
      <c r="E528">
        <v>0</v>
      </c>
      <c r="F528">
        <v>9.5</v>
      </c>
      <c r="G528">
        <v>37</v>
      </c>
      <c r="H528">
        <v>3</v>
      </c>
      <c r="I528">
        <v>5</v>
      </c>
      <c r="J528">
        <v>0</v>
      </c>
      <c r="K528">
        <v>1</v>
      </c>
    </row>
    <row r="529" spans="1:11">
      <c r="A529">
        <v>16</v>
      </c>
      <c r="B529">
        <v>0</v>
      </c>
      <c r="C529">
        <v>0</v>
      </c>
      <c r="D529">
        <v>11</v>
      </c>
      <c r="E529">
        <v>0</v>
      </c>
      <c r="F529">
        <v>13.65</v>
      </c>
      <c r="G529">
        <v>33</v>
      </c>
      <c r="H529">
        <v>3</v>
      </c>
      <c r="I529">
        <v>5</v>
      </c>
      <c r="J529">
        <v>0</v>
      </c>
      <c r="K529">
        <v>1</v>
      </c>
    </row>
    <row r="530" spans="1:11">
      <c r="A530">
        <v>18</v>
      </c>
      <c r="B530">
        <v>0</v>
      </c>
      <c r="C530">
        <v>0</v>
      </c>
      <c r="D530">
        <v>23</v>
      </c>
      <c r="E530">
        <v>1</v>
      </c>
      <c r="F530">
        <v>12</v>
      </c>
      <c r="G530">
        <v>47</v>
      </c>
      <c r="H530">
        <v>3</v>
      </c>
      <c r="I530">
        <v>5</v>
      </c>
      <c r="J530">
        <v>0</v>
      </c>
      <c r="K530">
        <v>1</v>
      </c>
    </row>
    <row r="531" spans="1:11">
      <c r="A531">
        <v>12</v>
      </c>
      <c r="B531">
        <v>0</v>
      </c>
      <c r="C531">
        <v>0</v>
      </c>
      <c r="D531">
        <v>39</v>
      </c>
      <c r="E531">
        <v>1</v>
      </c>
      <c r="F531">
        <v>15</v>
      </c>
      <c r="G531">
        <v>57</v>
      </c>
      <c r="H531">
        <v>3</v>
      </c>
      <c r="I531">
        <v>5</v>
      </c>
      <c r="J531">
        <v>0</v>
      </c>
      <c r="K531">
        <v>1</v>
      </c>
    </row>
    <row r="532" spans="1:11">
      <c r="A532">
        <v>16</v>
      </c>
      <c r="B532">
        <v>0</v>
      </c>
      <c r="C532">
        <v>0</v>
      </c>
      <c r="D532">
        <v>15</v>
      </c>
      <c r="E532">
        <v>0</v>
      </c>
      <c r="F532">
        <v>12.67</v>
      </c>
      <c r="G532">
        <v>37</v>
      </c>
      <c r="H532">
        <v>3</v>
      </c>
      <c r="I532">
        <v>5</v>
      </c>
      <c r="J532">
        <v>0</v>
      </c>
      <c r="K532">
        <v>1</v>
      </c>
    </row>
    <row r="533" spans="1:11">
      <c r="A533">
        <v>14</v>
      </c>
      <c r="B533">
        <v>0</v>
      </c>
      <c r="C533">
        <v>1</v>
      </c>
      <c r="D533">
        <v>15</v>
      </c>
      <c r="E533">
        <v>0</v>
      </c>
      <c r="F533">
        <v>7.38</v>
      </c>
      <c r="G533">
        <v>35</v>
      </c>
      <c r="H533">
        <v>2</v>
      </c>
      <c r="I533">
        <v>5</v>
      </c>
      <c r="J533">
        <v>0</v>
      </c>
      <c r="K533">
        <v>0</v>
      </c>
    </row>
    <row r="534" spans="1:11">
      <c r="A534">
        <v>16</v>
      </c>
      <c r="B534">
        <v>0</v>
      </c>
      <c r="C534">
        <v>0</v>
      </c>
      <c r="D534">
        <v>10</v>
      </c>
      <c r="E534">
        <v>0</v>
      </c>
      <c r="F534">
        <v>15.56</v>
      </c>
      <c r="G534">
        <v>32</v>
      </c>
      <c r="H534">
        <v>3</v>
      </c>
      <c r="I534">
        <v>5</v>
      </c>
      <c r="J534">
        <v>0</v>
      </c>
      <c r="K534">
        <v>0</v>
      </c>
    </row>
    <row r="535" spans="1:11">
      <c r="A535">
        <v>12</v>
      </c>
      <c r="B535">
        <v>1</v>
      </c>
      <c r="C535">
        <v>1</v>
      </c>
      <c r="D535">
        <v>25</v>
      </c>
      <c r="E535">
        <v>0</v>
      </c>
      <c r="F535">
        <v>7.45</v>
      </c>
      <c r="G535">
        <v>43</v>
      </c>
      <c r="H535">
        <v>3</v>
      </c>
      <c r="I535">
        <v>5</v>
      </c>
      <c r="J535">
        <v>0</v>
      </c>
      <c r="K535">
        <v>0</v>
      </c>
    </row>
    <row r="536" spans="1:11">
      <c r="A536">
        <v>14</v>
      </c>
      <c r="B536">
        <v>0</v>
      </c>
      <c r="C536">
        <v>1</v>
      </c>
      <c r="D536">
        <v>12</v>
      </c>
      <c r="E536">
        <v>0</v>
      </c>
      <c r="F536">
        <v>6.25</v>
      </c>
      <c r="G536">
        <v>32</v>
      </c>
      <c r="H536">
        <v>3</v>
      </c>
      <c r="I536">
        <v>5</v>
      </c>
      <c r="J536">
        <v>0</v>
      </c>
      <c r="K536">
        <v>1</v>
      </c>
    </row>
    <row r="537" spans="1:11">
      <c r="A537">
        <v>16</v>
      </c>
      <c r="B537">
        <v>1</v>
      </c>
      <c r="C537">
        <v>1</v>
      </c>
      <c r="D537">
        <v>7</v>
      </c>
      <c r="E537">
        <v>0</v>
      </c>
      <c r="F537">
        <v>6.25</v>
      </c>
      <c r="G537">
        <v>29</v>
      </c>
      <c r="H537">
        <v>2</v>
      </c>
      <c r="I537">
        <v>5</v>
      </c>
      <c r="J537">
        <v>0</v>
      </c>
      <c r="K537">
        <v>1</v>
      </c>
    </row>
    <row r="538" spans="1:11">
      <c r="A538">
        <v>17</v>
      </c>
      <c r="B538">
        <v>0</v>
      </c>
      <c r="C538">
        <v>0</v>
      </c>
      <c r="D538">
        <v>7</v>
      </c>
      <c r="E538">
        <v>1</v>
      </c>
      <c r="F538">
        <v>9.3699999999999992</v>
      </c>
      <c r="G538">
        <v>30</v>
      </c>
      <c r="H538">
        <v>3</v>
      </c>
      <c r="I538">
        <v>5</v>
      </c>
      <c r="J538">
        <v>0</v>
      </c>
      <c r="K538">
        <v>1</v>
      </c>
    </row>
    <row r="539" spans="1:11">
      <c r="A539">
        <v>16</v>
      </c>
      <c r="B539">
        <v>0</v>
      </c>
      <c r="C539">
        <v>0</v>
      </c>
      <c r="D539">
        <v>17</v>
      </c>
      <c r="E539">
        <v>0</v>
      </c>
      <c r="F539">
        <v>22.5</v>
      </c>
      <c r="G539">
        <v>39</v>
      </c>
      <c r="H539">
        <v>3</v>
      </c>
      <c r="I539">
        <v>5</v>
      </c>
      <c r="J539">
        <v>1</v>
      </c>
      <c r="K539">
        <v>1</v>
      </c>
    </row>
    <row r="540" spans="1:11">
      <c r="A540">
        <v>16</v>
      </c>
      <c r="B540">
        <v>0</v>
      </c>
      <c r="C540">
        <v>0</v>
      </c>
      <c r="D540">
        <v>10</v>
      </c>
      <c r="E540">
        <v>1</v>
      </c>
      <c r="F540">
        <v>7.5</v>
      </c>
      <c r="G540">
        <v>32</v>
      </c>
      <c r="H540">
        <v>3</v>
      </c>
      <c r="I540">
        <v>5</v>
      </c>
      <c r="J540">
        <v>0</v>
      </c>
      <c r="K540">
        <v>1</v>
      </c>
    </row>
    <row r="541" spans="1:11">
      <c r="A541">
        <v>17</v>
      </c>
      <c r="B541">
        <v>1</v>
      </c>
      <c r="C541">
        <v>0</v>
      </c>
      <c r="D541">
        <v>2</v>
      </c>
      <c r="E541">
        <v>0</v>
      </c>
      <c r="F541">
        <v>7</v>
      </c>
      <c r="G541">
        <v>25</v>
      </c>
      <c r="H541">
        <v>3</v>
      </c>
      <c r="I541">
        <v>5</v>
      </c>
      <c r="J541">
        <v>0</v>
      </c>
      <c r="K541">
        <v>1</v>
      </c>
    </row>
    <row r="542" spans="1:11">
      <c r="A542">
        <v>9</v>
      </c>
      <c r="B542">
        <v>1</v>
      </c>
      <c r="C542">
        <v>1</v>
      </c>
      <c r="D542">
        <v>34</v>
      </c>
      <c r="E542">
        <v>1</v>
      </c>
      <c r="F542">
        <v>5.75</v>
      </c>
      <c r="G542">
        <v>49</v>
      </c>
      <c r="H542">
        <v>1</v>
      </c>
      <c r="I542">
        <v>5</v>
      </c>
      <c r="J542">
        <v>0</v>
      </c>
      <c r="K542">
        <v>1</v>
      </c>
    </row>
    <row r="543" spans="1:11">
      <c r="A543">
        <v>15</v>
      </c>
      <c r="B543">
        <v>0</v>
      </c>
      <c r="C543">
        <v>1</v>
      </c>
      <c r="D543">
        <v>11</v>
      </c>
      <c r="E543">
        <v>0</v>
      </c>
      <c r="F543">
        <v>7.67</v>
      </c>
      <c r="G543">
        <v>32</v>
      </c>
      <c r="H543">
        <v>3</v>
      </c>
      <c r="I543">
        <v>5</v>
      </c>
      <c r="J543">
        <v>0</v>
      </c>
      <c r="K543">
        <v>1</v>
      </c>
    </row>
    <row r="544" spans="1:11">
      <c r="A544">
        <v>15</v>
      </c>
      <c r="B544">
        <v>0</v>
      </c>
      <c r="C544">
        <v>0</v>
      </c>
      <c r="D544">
        <v>10</v>
      </c>
      <c r="E544">
        <v>0</v>
      </c>
      <c r="F544">
        <v>12.5</v>
      </c>
      <c r="G544">
        <v>31</v>
      </c>
      <c r="H544">
        <v>3</v>
      </c>
      <c r="I544">
        <v>5</v>
      </c>
      <c r="J544">
        <v>0</v>
      </c>
      <c r="K544">
        <v>0</v>
      </c>
    </row>
    <row r="545" spans="1:11">
      <c r="A545">
        <v>12</v>
      </c>
      <c r="B545">
        <v>1</v>
      </c>
      <c r="C545">
        <v>0</v>
      </c>
      <c r="D545">
        <v>12</v>
      </c>
      <c r="E545">
        <v>0</v>
      </c>
      <c r="F545">
        <v>16</v>
      </c>
      <c r="G545">
        <v>30</v>
      </c>
      <c r="H545">
        <v>3</v>
      </c>
      <c r="I545">
        <v>5</v>
      </c>
      <c r="J545">
        <v>0</v>
      </c>
      <c r="K545">
        <v>1</v>
      </c>
    </row>
    <row r="546" spans="1:11">
      <c r="A546">
        <v>16</v>
      </c>
      <c r="B546">
        <v>0</v>
      </c>
      <c r="C546">
        <v>1</v>
      </c>
      <c r="D546">
        <v>6</v>
      </c>
      <c r="E546">
        <v>1</v>
      </c>
      <c r="F546">
        <v>11.79</v>
      </c>
      <c r="G546">
        <v>28</v>
      </c>
      <c r="H546">
        <v>3</v>
      </c>
      <c r="I546">
        <v>5</v>
      </c>
      <c r="J546">
        <v>0</v>
      </c>
      <c r="K546">
        <v>0</v>
      </c>
    </row>
    <row r="547" spans="1:11">
      <c r="A547">
        <v>18</v>
      </c>
      <c r="B547">
        <v>0</v>
      </c>
      <c r="C547">
        <v>0</v>
      </c>
      <c r="D547">
        <v>5</v>
      </c>
      <c r="E547">
        <v>0</v>
      </c>
      <c r="F547">
        <v>11.36</v>
      </c>
      <c r="G547">
        <v>29</v>
      </c>
      <c r="H547">
        <v>3</v>
      </c>
      <c r="I547">
        <v>5</v>
      </c>
      <c r="J547">
        <v>0</v>
      </c>
      <c r="K547">
        <v>0</v>
      </c>
    </row>
    <row r="548" spans="1:11">
      <c r="A548">
        <v>12</v>
      </c>
      <c r="B548">
        <v>0</v>
      </c>
      <c r="C548">
        <v>1</v>
      </c>
      <c r="D548">
        <v>33</v>
      </c>
      <c r="E548">
        <v>0</v>
      </c>
      <c r="F548">
        <v>6.1</v>
      </c>
      <c r="G548">
        <v>51</v>
      </c>
      <c r="H548">
        <v>1</v>
      </c>
      <c r="I548">
        <v>5</v>
      </c>
      <c r="J548">
        <v>0</v>
      </c>
      <c r="K548">
        <v>1</v>
      </c>
    </row>
    <row r="549" spans="1:11">
      <c r="A549">
        <v>17</v>
      </c>
      <c r="B549">
        <v>0</v>
      </c>
      <c r="C549">
        <v>1</v>
      </c>
      <c r="D549">
        <v>25</v>
      </c>
      <c r="E549">
        <v>1</v>
      </c>
      <c r="F549">
        <v>23.25</v>
      </c>
      <c r="G549">
        <v>48</v>
      </c>
      <c r="H549">
        <v>1</v>
      </c>
      <c r="I549">
        <v>5</v>
      </c>
      <c r="J549">
        <v>0</v>
      </c>
      <c r="K549">
        <v>1</v>
      </c>
    </row>
    <row r="550" spans="1:11">
      <c r="A550">
        <v>12</v>
      </c>
      <c r="B550">
        <v>1</v>
      </c>
      <c r="C550">
        <v>0</v>
      </c>
      <c r="D550">
        <v>13</v>
      </c>
      <c r="E550">
        <v>1</v>
      </c>
      <c r="F550">
        <v>19.88</v>
      </c>
      <c r="G550">
        <v>31</v>
      </c>
      <c r="H550">
        <v>3</v>
      </c>
      <c r="I550">
        <v>5</v>
      </c>
      <c r="J550">
        <v>0</v>
      </c>
      <c r="K550">
        <v>1</v>
      </c>
    </row>
    <row r="551" spans="1:11">
      <c r="A551">
        <v>16</v>
      </c>
      <c r="B551">
        <v>0</v>
      </c>
      <c r="C551">
        <v>0</v>
      </c>
      <c r="D551">
        <v>33</v>
      </c>
      <c r="E551">
        <v>0</v>
      </c>
      <c r="F551">
        <v>15.38</v>
      </c>
      <c r="G551">
        <v>55</v>
      </c>
      <c r="H551">
        <v>3</v>
      </c>
      <c r="I551">
        <v>5</v>
      </c>
      <c r="J551">
        <v>1</v>
      </c>
      <c r="K551">
        <v>1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E5BD-7E94-412E-8672-5DDB1D0A0ACF}">
  <dimension ref="A1:G247"/>
  <sheetViews>
    <sheetView workbookViewId="0">
      <selection activeCell="G247" sqref="G247"/>
    </sheetView>
  </sheetViews>
  <sheetFormatPr defaultRowHeight="15"/>
  <sheetData>
    <row r="1" spans="1:7">
      <c r="C1" t="s">
        <v>1226</v>
      </c>
    </row>
    <row r="3" spans="1:7">
      <c r="A3" t="s">
        <v>63</v>
      </c>
      <c r="B3" t="s">
        <v>415</v>
      </c>
      <c r="C3" t="s">
        <v>1227</v>
      </c>
      <c r="D3" t="s">
        <v>513</v>
      </c>
      <c r="E3" t="s">
        <v>1228</v>
      </c>
      <c r="F3" t="s">
        <v>1229</v>
      </c>
      <c r="G3" t="s">
        <v>1230</v>
      </c>
    </row>
    <row r="4" spans="1:7">
      <c r="A4">
        <v>1947</v>
      </c>
      <c r="B4">
        <v>1</v>
      </c>
      <c r="C4">
        <v>1096</v>
      </c>
      <c r="D4">
        <v>1570.519</v>
      </c>
      <c r="E4">
        <v>1017.2</v>
      </c>
      <c r="F4">
        <v>21.2</v>
      </c>
      <c r="G4">
        <v>6</v>
      </c>
    </row>
    <row r="5" spans="1:7">
      <c r="A5">
        <v>1947</v>
      </c>
      <c r="B5">
        <v>2</v>
      </c>
      <c r="C5">
        <v>1072.8</v>
      </c>
      <c r="D5">
        <v>1568.653</v>
      </c>
      <c r="E5">
        <v>1034</v>
      </c>
      <c r="F5">
        <v>20</v>
      </c>
      <c r="G5">
        <v>6.3</v>
      </c>
    </row>
    <row r="6" spans="1:7">
      <c r="A6">
        <v>1947</v>
      </c>
      <c r="B6">
        <v>3</v>
      </c>
      <c r="C6">
        <v>1102.8</v>
      </c>
      <c r="D6">
        <v>1567.9659999999999</v>
      </c>
      <c r="E6">
        <v>1037.5</v>
      </c>
      <c r="F6">
        <v>19.8</v>
      </c>
      <c r="G6">
        <v>6.5</v>
      </c>
    </row>
    <row r="7" spans="1:7">
      <c r="A7">
        <v>1947</v>
      </c>
      <c r="B7">
        <v>4</v>
      </c>
      <c r="C7">
        <v>1089.7</v>
      </c>
      <c r="D7">
        <v>1590.9380000000001</v>
      </c>
      <c r="E7">
        <v>1037.7</v>
      </c>
      <c r="F7">
        <v>21.7</v>
      </c>
      <c r="G7">
        <v>6.4</v>
      </c>
    </row>
    <row r="8" spans="1:7">
      <c r="A8">
        <v>1948</v>
      </c>
      <c r="B8">
        <v>1</v>
      </c>
      <c r="C8">
        <v>1107.3</v>
      </c>
      <c r="D8">
        <v>1616.069</v>
      </c>
      <c r="E8">
        <v>1042.5999999999999</v>
      </c>
      <c r="F8">
        <v>22.9</v>
      </c>
      <c r="G8">
        <v>7</v>
      </c>
    </row>
    <row r="9" spans="1:7">
      <c r="A9">
        <v>1948</v>
      </c>
      <c r="B9">
        <v>2</v>
      </c>
      <c r="C9">
        <v>1145.3</v>
      </c>
      <c r="D9">
        <v>1644.6369999999999</v>
      </c>
      <c r="E9">
        <v>1054.3</v>
      </c>
      <c r="F9">
        <v>24.1</v>
      </c>
      <c r="G9">
        <v>6.7</v>
      </c>
    </row>
    <row r="10" spans="1:7">
      <c r="A10">
        <v>1948</v>
      </c>
      <c r="B10">
        <v>3</v>
      </c>
      <c r="C10">
        <v>1168.4000000000001</v>
      </c>
      <c r="D10">
        <v>1654.0609999999999</v>
      </c>
      <c r="E10">
        <v>1056.0999999999999</v>
      </c>
      <c r="F10">
        <v>23.8</v>
      </c>
      <c r="G10">
        <v>7.1</v>
      </c>
    </row>
    <row r="11" spans="1:7">
      <c r="A11">
        <v>1948</v>
      </c>
      <c r="B11">
        <v>4</v>
      </c>
      <c r="C11">
        <v>1171.9000000000001</v>
      </c>
      <c r="D11">
        <v>1657.9880000000001</v>
      </c>
      <c r="E11">
        <v>1064.8</v>
      </c>
      <c r="F11">
        <v>23</v>
      </c>
      <c r="G11">
        <v>7.4</v>
      </c>
    </row>
    <row r="12" spans="1:7">
      <c r="A12">
        <v>1949</v>
      </c>
      <c r="B12">
        <v>1</v>
      </c>
      <c r="C12">
        <v>1147.5999999999999</v>
      </c>
      <c r="D12">
        <v>1633.249</v>
      </c>
      <c r="E12">
        <v>1066.0999999999999</v>
      </c>
      <c r="F12">
        <v>21</v>
      </c>
      <c r="G12">
        <v>7.2</v>
      </c>
    </row>
    <row r="13" spans="1:7">
      <c r="A13">
        <v>1949</v>
      </c>
      <c r="B13">
        <v>2</v>
      </c>
      <c r="C13">
        <v>1151.4000000000001</v>
      </c>
      <c r="D13">
        <v>1628.4390000000001</v>
      </c>
      <c r="E13">
        <v>1082.5999999999999</v>
      </c>
      <c r="F13">
        <v>18.600000000000001</v>
      </c>
      <c r="G13">
        <v>7.2</v>
      </c>
    </row>
    <row r="14" spans="1:7">
      <c r="A14">
        <v>1949</v>
      </c>
      <c r="B14">
        <v>3</v>
      </c>
      <c r="C14">
        <v>1158.0999999999999</v>
      </c>
      <c r="D14">
        <v>1646.6980000000001</v>
      </c>
      <c r="E14">
        <v>1085</v>
      </c>
      <c r="F14">
        <v>19.2</v>
      </c>
      <c r="G14">
        <v>7.1</v>
      </c>
    </row>
    <row r="15" spans="1:7">
      <c r="A15">
        <v>1949</v>
      </c>
      <c r="B15">
        <v>4</v>
      </c>
      <c r="C15">
        <v>1165.7</v>
      </c>
      <c r="D15">
        <v>1629.9110000000001</v>
      </c>
      <c r="E15">
        <v>1100.2</v>
      </c>
      <c r="F15">
        <v>18.8</v>
      </c>
      <c r="G15">
        <v>7.4</v>
      </c>
    </row>
    <row r="16" spans="1:7">
      <c r="A16">
        <v>1950</v>
      </c>
      <c r="B16">
        <v>1</v>
      </c>
      <c r="C16">
        <v>1252.8</v>
      </c>
      <c r="D16">
        <v>1696.7650000000001</v>
      </c>
      <c r="E16">
        <v>1118.9000000000001</v>
      </c>
      <c r="F16">
        <v>19.3</v>
      </c>
      <c r="G16">
        <v>8.3000000000000007</v>
      </c>
    </row>
    <row r="17" spans="1:7">
      <c r="A17">
        <v>1950</v>
      </c>
      <c r="B17">
        <v>2</v>
      </c>
      <c r="C17">
        <v>1245.4000000000001</v>
      </c>
      <c r="D17">
        <v>1747.3219999999999</v>
      </c>
      <c r="E17">
        <v>1136.8</v>
      </c>
      <c r="F17">
        <v>23.1</v>
      </c>
      <c r="G17">
        <v>8.4</v>
      </c>
    </row>
    <row r="18" spans="1:7">
      <c r="A18">
        <v>1950</v>
      </c>
      <c r="B18">
        <v>3</v>
      </c>
      <c r="C18">
        <v>1264.8</v>
      </c>
      <c r="D18">
        <v>1815.845</v>
      </c>
      <c r="E18">
        <v>1195.3</v>
      </c>
      <c r="F18">
        <v>28</v>
      </c>
      <c r="G18">
        <v>9.1999999999999993</v>
      </c>
    </row>
    <row r="19" spans="1:7">
      <c r="A19">
        <v>1950</v>
      </c>
      <c r="B19">
        <v>4</v>
      </c>
      <c r="C19">
        <v>1277.4000000000001</v>
      </c>
      <c r="D19">
        <v>1848.9280000000001</v>
      </c>
      <c r="E19">
        <v>1160.0999999999999</v>
      </c>
      <c r="F19">
        <v>30.8</v>
      </c>
      <c r="G19">
        <v>9.5</v>
      </c>
    </row>
    <row r="20" spans="1:7">
      <c r="A20">
        <v>1951</v>
      </c>
      <c r="B20">
        <v>1</v>
      </c>
      <c r="C20">
        <v>1276.9000000000001</v>
      </c>
      <c r="D20">
        <v>1871.3109999999999</v>
      </c>
      <c r="E20">
        <v>1187.4000000000001</v>
      </c>
      <c r="F20">
        <v>25.6</v>
      </c>
      <c r="G20">
        <v>8.4</v>
      </c>
    </row>
    <row r="21" spans="1:7">
      <c r="A21">
        <v>1951</v>
      </c>
      <c r="B21">
        <v>2</v>
      </c>
      <c r="C21">
        <v>1297.5</v>
      </c>
      <c r="D21">
        <v>1903.1179999999999</v>
      </c>
      <c r="E21">
        <v>1154.5</v>
      </c>
      <c r="F21">
        <v>21.8</v>
      </c>
      <c r="G21">
        <v>8.6</v>
      </c>
    </row>
    <row r="22" spans="1:7">
      <c r="A22">
        <v>1951</v>
      </c>
      <c r="B22">
        <v>3</v>
      </c>
      <c r="C22">
        <v>1305.9000000000001</v>
      </c>
      <c r="D22">
        <v>1941.1089999999999</v>
      </c>
      <c r="E22">
        <v>1167.9000000000001</v>
      </c>
      <c r="F22">
        <v>19.899999999999999</v>
      </c>
      <c r="G22">
        <v>8.6</v>
      </c>
    </row>
    <row r="23" spans="1:7">
      <c r="A23">
        <v>1951</v>
      </c>
      <c r="B23">
        <v>4</v>
      </c>
      <c r="C23">
        <v>1308.5</v>
      </c>
      <c r="D23">
        <v>1944.4469999999999</v>
      </c>
      <c r="E23">
        <v>1174.9000000000001</v>
      </c>
      <c r="F23">
        <v>21.6</v>
      </c>
      <c r="G23">
        <v>8.6999999999999993</v>
      </c>
    </row>
    <row r="24" spans="1:7">
      <c r="A24">
        <v>1952</v>
      </c>
      <c r="B24">
        <v>1</v>
      </c>
      <c r="C24">
        <v>1308.0999999999999</v>
      </c>
      <c r="D24">
        <v>1964.67</v>
      </c>
      <c r="E24">
        <v>1178.0999999999999</v>
      </c>
      <c r="F24">
        <v>20.9</v>
      </c>
      <c r="G24">
        <v>8.1999999999999993</v>
      </c>
    </row>
    <row r="25" spans="1:7">
      <c r="A25">
        <v>1952</v>
      </c>
      <c r="B25">
        <v>2</v>
      </c>
      <c r="C25">
        <v>1323.9</v>
      </c>
      <c r="D25">
        <v>1966.0440000000001</v>
      </c>
      <c r="E25">
        <v>1200.7</v>
      </c>
      <c r="F25">
        <v>20</v>
      </c>
      <c r="G25">
        <v>8.6999999999999993</v>
      </c>
    </row>
    <row r="26" spans="1:7">
      <c r="A26">
        <v>1952</v>
      </c>
      <c r="B26">
        <v>3</v>
      </c>
      <c r="C26">
        <v>1349.7</v>
      </c>
      <c r="D26">
        <v>1978.806</v>
      </c>
      <c r="E26">
        <v>1206</v>
      </c>
      <c r="F26">
        <v>20.2</v>
      </c>
      <c r="G26">
        <v>8.6</v>
      </c>
    </row>
    <row r="27" spans="1:7">
      <c r="A27">
        <v>1952</v>
      </c>
      <c r="B27">
        <v>4</v>
      </c>
      <c r="C27">
        <v>1376</v>
      </c>
      <c r="D27">
        <v>2043.7950000000001</v>
      </c>
      <c r="E27">
        <v>1248.3</v>
      </c>
      <c r="F27">
        <v>22.2</v>
      </c>
      <c r="G27">
        <v>8.8000000000000007</v>
      </c>
    </row>
    <row r="28" spans="1:7">
      <c r="A28">
        <v>1953</v>
      </c>
      <c r="B28">
        <v>1</v>
      </c>
      <c r="C28">
        <v>1395</v>
      </c>
      <c r="D28">
        <v>2082.277</v>
      </c>
      <c r="E28">
        <v>1263.4000000000001</v>
      </c>
      <c r="F28">
        <v>22.9</v>
      </c>
      <c r="G28">
        <v>8.4</v>
      </c>
    </row>
    <row r="29" spans="1:7">
      <c r="A29">
        <v>1953</v>
      </c>
      <c r="B29">
        <v>2</v>
      </c>
      <c r="C29">
        <v>1414.5</v>
      </c>
      <c r="D29">
        <v>2098.0830000000001</v>
      </c>
      <c r="E29">
        <v>1271.2</v>
      </c>
      <c r="F29">
        <v>22.8</v>
      </c>
      <c r="G29">
        <v>9.1999999999999993</v>
      </c>
    </row>
    <row r="30" spans="1:7">
      <c r="A30">
        <v>1953</v>
      </c>
      <c r="B30">
        <v>3</v>
      </c>
      <c r="C30">
        <v>1408.7</v>
      </c>
      <c r="D30">
        <v>2085.4189999999999</v>
      </c>
      <c r="E30">
        <v>1268.2</v>
      </c>
      <c r="F30">
        <v>22.3</v>
      </c>
      <c r="G30">
        <v>9</v>
      </c>
    </row>
    <row r="31" spans="1:7">
      <c r="A31">
        <v>1953</v>
      </c>
      <c r="B31">
        <v>4</v>
      </c>
      <c r="C31">
        <v>1399.8</v>
      </c>
      <c r="D31">
        <v>2052.5320000000002</v>
      </c>
      <c r="E31">
        <v>1259.7</v>
      </c>
      <c r="F31">
        <v>17.5</v>
      </c>
      <c r="G31">
        <v>8.9</v>
      </c>
    </row>
    <row r="32" spans="1:7">
      <c r="A32">
        <v>1954</v>
      </c>
      <c r="B32">
        <v>1</v>
      </c>
      <c r="C32">
        <v>1407.5</v>
      </c>
      <c r="D32">
        <v>2042.42</v>
      </c>
      <c r="E32">
        <v>1264.3</v>
      </c>
      <c r="F32">
        <v>20.100000000000001</v>
      </c>
      <c r="G32">
        <v>9.4</v>
      </c>
    </row>
    <row r="33" spans="1:7">
      <c r="A33">
        <v>1954</v>
      </c>
      <c r="B33">
        <v>2</v>
      </c>
      <c r="C33">
        <v>1407.4</v>
      </c>
      <c r="D33">
        <v>2044.2860000000001</v>
      </c>
      <c r="E33">
        <v>1280.0999999999999</v>
      </c>
      <c r="F33">
        <v>20.8</v>
      </c>
      <c r="G33">
        <v>8.9</v>
      </c>
    </row>
    <row r="34" spans="1:7">
      <c r="A34">
        <v>1954</v>
      </c>
      <c r="B34">
        <v>3</v>
      </c>
      <c r="C34">
        <v>1422.7</v>
      </c>
      <c r="D34">
        <v>2066.8649999999998</v>
      </c>
      <c r="E34">
        <v>1297.0999999999999</v>
      </c>
      <c r="F34">
        <v>22.1</v>
      </c>
      <c r="G34">
        <v>9.3000000000000007</v>
      </c>
    </row>
    <row r="35" spans="1:7">
      <c r="A35">
        <v>1954</v>
      </c>
      <c r="B35">
        <v>4</v>
      </c>
      <c r="C35">
        <v>1450.6</v>
      </c>
      <c r="D35">
        <v>2107.8009999999999</v>
      </c>
      <c r="E35">
        <v>1324</v>
      </c>
      <c r="F35">
        <v>23.8</v>
      </c>
      <c r="G35">
        <v>9.5</v>
      </c>
    </row>
    <row r="36" spans="1:7">
      <c r="A36">
        <v>1955</v>
      </c>
      <c r="B36">
        <v>1</v>
      </c>
      <c r="C36">
        <v>1471.9</v>
      </c>
      <c r="D36">
        <v>2168.4699999999998</v>
      </c>
      <c r="E36">
        <v>1353.5</v>
      </c>
      <c r="F36">
        <v>27</v>
      </c>
      <c r="G36">
        <v>10</v>
      </c>
    </row>
    <row r="37" spans="1:7">
      <c r="A37">
        <v>1955</v>
      </c>
      <c r="B37">
        <v>2</v>
      </c>
      <c r="C37">
        <v>1506.9</v>
      </c>
      <c r="D37">
        <v>2204.0079999999998</v>
      </c>
      <c r="E37">
        <v>1379.1</v>
      </c>
      <c r="F37">
        <v>27.4</v>
      </c>
      <c r="G37">
        <v>10.199999999999999</v>
      </c>
    </row>
    <row r="38" spans="1:7">
      <c r="A38">
        <v>1955</v>
      </c>
      <c r="B38">
        <v>3</v>
      </c>
      <c r="C38">
        <v>1535.3</v>
      </c>
      <c r="D38">
        <v>2233.36</v>
      </c>
      <c r="E38">
        <v>1396.1</v>
      </c>
      <c r="F38">
        <v>28</v>
      </c>
      <c r="G38">
        <v>10.8</v>
      </c>
    </row>
    <row r="39" spans="1:7">
      <c r="A39">
        <v>1955</v>
      </c>
      <c r="B39">
        <v>4</v>
      </c>
      <c r="C39">
        <v>1552.7</v>
      </c>
      <c r="D39">
        <v>2245.337</v>
      </c>
      <c r="E39">
        <v>1413.3</v>
      </c>
      <c r="F39">
        <v>29.1</v>
      </c>
      <c r="G39">
        <v>10.9</v>
      </c>
    </row>
    <row r="40" spans="1:7">
      <c r="A40">
        <v>1956</v>
      </c>
      <c r="B40">
        <v>1</v>
      </c>
      <c r="C40">
        <v>1568.4</v>
      </c>
      <c r="D40">
        <v>2234.8330000000001</v>
      </c>
      <c r="E40">
        <v>1415.5</v>
      </c>
      <c r="F40">
        <v>28.2</v>
      </c>
      <c r="G40">
        <v>11.2</v>
      </c>
    </row>
    <row r="41" spans="1:7">
      <c r="A41">
        <v>1956</v>
      </c>
      <c r="B41">
        <v>2</v>
      </c>
      <c r="C41">
        <v>1583.9</v>
      </c>
      <c r="D41">
        <v>2252.5039999999999</v>
      </c>
      <c r="E41">
        <v>1420.2</v>
      </c>
      <c r="F41">
        <v>28.9</v>
      </c>
      <c r="G41">
        <v>11.2</v>
      </c>
    </row>
    <row r="42" spans="1:7">
      <c r="A42">
        <v>1956</v>
      </c>
      <c r="B42">
        <v>3</v>
      </c>
      <c r="C42">
        <v>1590.6</v>
      </c>
      <c r="D42">
        <v>2249.7550000000001</v>
      </c>
      <c r="E42">
        <v>1423.4</v>
      </c>
      <c r="F42">
        <v>27.6</v>
      </c>
      <c r="G42">
        <v>11.2</v>
      </c>
    </row>
    <row r="43" spans="1:7">
      <c r="A43">
        <v>1956</v>
      </c>
      <c r="B43">
        <v>4</v>
      </c>
      <c r="C43">
        <v>1615.9</v>
      </c>
      <c r="D43">
        <v>2286.4699999999998</v>
      </c>
      <c r="E43">
        <v>1442.8</v>
      </c>
      <c r="F43">
        <v>29.2</v>
      </c>
      <c r="G43">
        <v>11.6</v>
      </c>
    </row>
    <row r="44" spans="1:7">
      <c r="A44">
        <v>1957</v>
      </c>
      <c r="B44">
        <v>1</v>
      </c>
      <c r="C44">
        <v>1618.9</v>
      </c>
      <c r="D44">
        <v>2300.3119999999999</v>
      </c>
      <c r="E44">
        <v>1452.7</v>
      </c>
      <c r="F44">
        <v>29.5</v>
      </c>
      <c r="G44">
        <v>11.6</v>
      </c>
    </row>
    <row r="45" spans="1:7">
      <c r="A45">
        <v>1957</v>
      </c>
      <c r="B45">
        <v>2</v>
      </c>
      <c r="C45">
        <v>1629.5</v>
      </c>
      <c r="D45">
        <v>2294.6179999999999</v>
      </c>
      <c r="E45">
        <v>1455.1</v>
      </c>
      <c r="F45">
        <v>28.2</v>
      </c>
      <c r="G45">
        <v>11.8</v>
      </c>
    </row>
    <row r="46" spans="1:7">
      <c r="A46">
        <v>1957</v>
      </c>
      <c r="B46">
        <v>3</v>
      </c>
      <c r="C46">
        <v>1637.5</v>
      </c>
      <c r="D46">
        <v>2317.0010000000002</v>
      </c>
      <c r="E46">
        <v>1467</v>
      </c>
      <c r="F46">
        <v>27.6</v>
      </c>
      <c r="G46">
        <v>11.9</v>
      </c>
    </row>
    <row r="47" spans="1:7">
      <c r="A47">
        <v>1957</v>
      </c>
      <c r="B47">
        <v>4</v>
      </c>
      <c r="C47">
        <v>1628.2</v>
      </c>
      <c r="D47">
        <v>2292.4589999999998</v>
      </c>
      <c r="E47">
        <v>1467.8</v>
      </c>
      <c r="F47">
        <v>25.3</v>
      </c>
      <c r="G47">
        <v>11.7</v>
      </c>
    </row>
    <row r="48" spans="1:7">
      <c r="A48">
        <v>1958</v>
      </c>
      <c r="B48">
        <v>1</v>
      </c>
      <c r="C48">
        <v>1613.2</v>
      </c>
      <c r="D48">
        <v>2230.2190000000001</v>
      </c>
      <c r="E48">
        <v>1447.3</v>
      </c>
      <c r="F48">
        <v>21.6</v>
      </c>
      <c r="G48">
        <v>11.6</v>
      </c>
    </row>
    <row r="49" spans="1:7">
      <c r="A49">
        <v>1958</v>
      </c>
      <c r="B49">
        <v>2</v>
      </c>
      <c r="C49">
        <v>1623.7</v>
      </c>
      <c r="D49">
        <v>2243.3739999999998</v>
      </c>
      <c r="E49">
        <v>1458.9</v>
      </c>
      <c r="F49">
        <v>22</v>
      </c>
      <c r="G49">
        <v>11.7</v>
      </c>
    </row>
    <row r="50" spans="1:7">
      <c r="A50">
        <v>1958</v>
      </c>
      <c r="B50">
        <v>3</v>
      </c>
      <c r="C50">
        <v>1656.8</v>
      </c>
      <c r="D50">
        <v>2295.2069999999999</v>
      </c>
      <c r="E50">
        <v>1482.2</v>
      </c>
      <c r="F50">
        <v>24.5</v>
      </c>
      <c r="G50">
        <v>11.7</v>
      </c>
    </row>
    <row r="51" spans="1:7">
      <c r="A51">
        <v>1958</v>
      </c>
      <c r="B51">
        <v>4</v>
      </c>
      <c r="C51">
        <v>1677.1</v>
      </c>
      <c r="D51">
        <v>2348.0230000000001</v>
      </c>
      <c r="E51">
        <v>1500.9</v>
      </c>
      <c r="F51">
        <v>27.9</v>
      </c>
      <c r="G51">
        <v>11.4</v>
      </c>
    </row>
    <row r="52" spans="1:7">
      <c r="A52">
        <v>1959</v>
      </c>
      <c r="B52">
        <v>1</v>
      </c>
      <c r="C52">
        <v>1688.6</v>
      </c>
      <c r="D52">
        <v>2392.886</v>
      </c>
      <c r="E52">
        <v>1525.9</v>
      </c>
      <c r="F52">
        <v>29.8</v>
      </c>
      <c r="G52">
        <v>12.1</v>
      </c>
    </row>
    <row r="53" spans="1:7">
      <c r="A53">
        <v>1959</v>
      </c>
      <c r="B53">
        <v>2</v>
      </c>
      <c r="C53">
        <v>1721</v>
      </c>
      <c r="D53">
        <v>2455.8130000000001</v>
      </c>
      <c r="E53">
        <v>1551.7</v>
      </c>
      <c r="F53">
        <v>32.5</v>
      </c>
      <c r="G53">
        <v>12.5</v>
      </c>
    </row>
    <row r="54" spans="1:7">
      <c r="A54">
        <v>1959</v>
      </c>
      <c r="B54">
        <v>3</v>
      </c>
      <c r="C54">
        <v>1719.5</v>
      </c>
      <c r="D54">
        <v>2453.9479999999999</v>
      </c>
      <c r="E54">
        <v>1569.2</v>
      </c>
      <c r="F54">
        <v>29.2</v>
      </c>
      <c r="G54">
        <v>12.8</v>
      </c>
    </row>
    <row r="55" spans="1:7">
      <c r="A55">
        <v>1959</v>
      </c>
      <c r="B55">
        <v>4</v>
      </c>
      <c r="C55">
        <v>1733.2</v>
      </c>
      <c r="D55">
        <v>2462.587</v>
      </c>
      <c r="E55">
        <v>1571.4</v>
      </c>
      <c r="F55">
        <v>28.6</v>
      </c>
      <c r="G55">
        <v>13</v>
      </c>
    </row>
    <row r="56" spans="1:7">
      <c r="A56">
        <v>1960</v>
      </c>
      <c r="B56">
        <v>1</v>
      </c>
      <c r="C56">
        <v>1753.2</v>
      </c>
      <c r="D56">
        <v>2517.3649999999998</v>
      </c>
      <c r="E56">
        <v>1585.6</v>
      </c>
      <c r="F56">
        <v>31.5</v>
      </c>
      <c r="G56">
        <v>13.2</v>
      </c>
    </row>
    <row r="57" spans="1:7">
      <c r="A57">
        <v>1960</v>
      </c>
      <c r="B57">
        <v>2</v>
      </c>
      <c r="C57">
        <v>1761.8</v>
      </c>
      <c r="D57">
        <v>2504.8000000000002</v>
      </c>
      <c r="E57">
        <v>1605.1</v>
      </c>
      <c r="F57">
        <v>29.2</v>
      </c>
      <c r="G57">
        <v>13.2</v>
      </c>
    </row>
    <row r="58" spans="1:7">
      <c r="A58">
        <v>1960</v>
      </c>
      <c r="B58">
        <v>3</v>
      </c>
      <c r="C58">
        <v>1762.8</v>
      </c>
      <c r="D58">
        <v>2508.7260000000001</v>
      </c>
      <c r="E58">
        <v>1598.5</v>
      </c>
      <c r="F58">
        <v>27.9</v>
      </c>
      <c r="G58">
        <v>13.5</v>
      </c>
    </row>
    <row r="59" spans="1:7">
      <c r="A59">
        <v>1960</v>
      </c>
      <c r="B59">
        <v>4</v>
      </c>
      <c r="C59">
        <v>1761.2</v>
      </c>
      <c r="D59">
        <v>2476.232</v>
      </c>
      <c r="E59">
        <v>1600.3</v>
      </c>
      <c r="F59">
        <v>26.8</v>
      </c>
      <c r="G59">
        <v>13.5</v>
      </c>
    </row>
    <row r="60" spans="1:7">
      <c r="A60">
        <v>1961</v>
      </c>
      <c r="B60">
        <v>1</v>
      </c>
      <c r="C60">
        <v>1777.6</v>
      </c>
      <c r="D60">
        <v>2491.154</v>
      </c>
      <c r="E60">
        <v>1600.2</v>
      </c>
      <c r="F60">
        <v>26.2</v>
      </c>
      <c r="G60">
        <v>13.6</v>
      </c>
    </row>
    <row r="61" spans="1:7">
      <c r="A61">
        <v>1961</v>
      </c>
      <c r="B61">
        <v>2</v>
      </c>
      <c r="C61">
        <v>1804.6</v>
      </c>
      <c r="D61">
        <v>2537.9810000000002</v>
      </c>
      <c r="E61">
        <v>1624.2</v>
      </c>
      <c r="F61">
        <v>27.6</v>
      </c>
      <c r="G61">
        <v>13.6</v>
      </c>
    </row>
    <row r="62" spans="1:7">
      <c r="A62">
        <v>1961</v>
      </c>
      <c r="B62">
        <v>3</v>
      </c>
      <c r="C62">
        <v>1829.2</v>
      </c>
      <c r="D62">
        <v>2579.114</v>
      </c>
      <c r="E62">
        <v>1632.1</v>
      </c>
      <c r="F62">
        <v>29.3</v>
      </c>
      <c r="G62">
        <v>13.9</v>
      </c>
    </row>
    <row r="63" spans="1:7">
      <c r="A63">
        <v>1961</v>
      </c>
      <c r="B63">
        <v>4</v>
      </c>
      <c r="C63">
        <v>1865.4</v>
      </c>
      <c r="D63">
        <v>2631.8310000000001</v>
      </c>
      <c r="E63">
        <v>1664.9</v>
      </c>
      <c r="F63">
        <v>31.6</v>
      </c>
      <c r="G63">
        <v>14.5</v>
      </c>
    </row>
    <row r="64" spans="1:7">
      <c r="A64">
        <v>1962</v>
      </c>
      <c r="B64">
        <v>1</v>
      </c>
      <c r="C64">
        <v>1883.4</v>
      </c>
      <c r="D64">
        <v>2679.1489999999999</v>
      </c>
      <c r="E64">
        <v>1682.7</v>
      </c>
      <c r="F64">
        <v>32.200000000000003</v>
      </c>
      <c r="G64">
        <v>14.6</v>
      </c>
    </row>
    <row r="65" spans="1:7">
      <c r="A65">
        <v>1962</v>
      </c>
      <c r="B65">
        <v>2</v>
      </c>
      <c r="C65">
        <v>1904.1</v>
      </c>
      <c r="D65">
        <v>2708.404</v>
      </c>
      <c r="E65">
        <v>1703.1</v>
      </c>
      <c r="F65">
        <v>32.200000000000003</v>
      </c>
      <c r="G65">
        <v>15</v>
      </c>
    </row>
    <row r="66" spans="1:7">
      <c r="A66">
        <v>1962</v>
      </c>
      <c r="B66">
        <v>3</v>
      </c>
      <c r="C66">
        <v>1914.7</v>
      </c>
      <c r="D66">
        <v>2733.3389999999999</v>
      </c>
      <c r="E66">
        <v>1717</v>
      </c>
      <c r="F66">
        <v>33.200000000000003</v>
      </c>
      <c r="G66">
        <v>15.2</v>
      </c>
    </row>
    <row r="67" spans="1:7">
      <c r="A67">
        <v>1962</v>
      </c>
      <c r="B67">
        <v>4</v>
      </c>
      <c r="C67">
        <v>1930.4</v>
      </c>
      <c r="D67">
        <v>2740.0140000000001</v>
      </c>
      <c r="E67">
        <v>1741.5</v>
      </c>
      <c r="F67">
        <v>34</v>
      </c>
      <c r="G67">
        <v>15.4</v>
      </c>
    </row>
    <row r="68" spans="1:7">
      <c r="A68">
        <v>1963</v>
      </c>
      <c r="B68">
        <v>1</v>
      </c>
      <c r="C68">
        <v>1946</v>
      </c>
      <c r="D68">
        <v>2775.944</v>
      </c>
      <c r="E68">
        <v>1753.1</v>
      </c>
      <c r="F68">
        <v>33.6</v>
      </c>
      <c r="G68">
        <v>15.8</v>
      </c>
    </row>
    <row r="69" spans="1:7">
      <c r="A69">
        <v>1963</v>
      </c>
      <c r="B69">
        <v>2</v>
      </c>
      <c r="C69">
        <v>1964.3</v>
      </c>
      <c r="D69">
        <v>2810.598</v>
      </c>
      <c r="E69">
        <v>1770</v>
      </c>
      <c r="F69">
        <v>35.5</v>
      </c>
      <c r="G69">
        <v>16.100000000000001</v>
      </c>
    </row>
    <row r="70" spans="1:7">
      <c r="A70">
        <v>1963</v>
      </c>
      <c r="B70">
        <v>3</v>
      </c>
      <c r="C70">
        <v>1986.4</v>
      </c>
      <c r="D70">
        <v>2863.5120000000002</v>
      </c>
      <c r="E70">
        <v>1794</v>
      </c>
      <c r="F70">
        <v>36.4</v>
      </c>
      <c r="G70">
        <v>16.3</v>
      </c>
    </row>
    <row r="71" spans="1:7">
      <c r="A71">
        <v>1963</v>
      </c>
      <c r="B71">
        <v>4</v>
      </c>
      <c r="C71">
        <v>2019.6</v>
      </c>
      <c r="D71">
        <v>2885.7959999999998</v>
      </c>
      <c r="E71">
        <v>1809.3</v>
      </c>
      <c r="F71">
        <v>37.4</v>
      </c>
      <c r="G71">
        <v>16.8</v>
      </c>
    </row>
    <row r="72" spans="1:7">
      <c r="A72">
        <v>1964</v>
      </c>
      <c r="B72">
        <v>1</v>
      </c>
      <c r="C72">
        <v>2060.6</v>
      </c>
      <c r="D72">
        <v>2950.49</v>
      </c>
      <c r="E72">
        <v>1845.2</v>
      </c>
      <c r="F72">
        <v>40.6</v>
      </c>
      <c r="G72">
        <v>17.5</v>
      </c>
    </row>
    <row r="73" spans="1:7">
      <c r="A73">
        <v>1964</v>
      </c>
      <c r="B73">
        <v>2</v>
      </c>
      <c r="C73">
        <v>2116.8000000000002</v>
      </c>
      <c r="D73">
        <v>2984.7510000000002</v>
      </c>
      <c r="E73">
        <v>1877.9</v>
      </c>
      <c r="F73">
        <v>40.5</v>
      </c>
      <c r="G73">
        <v>18</v>
      </c>
    </row>
    <row r="74" spans="1:7">
      <c r="A74">
        <v>1964</v>
      </c>
      <c r="B74">
        <v>3</v>
      </c>
      <c r="C74">
        <v>2144.6</v>
      </c>
      <c r="D74">
        <v>3025.4920000000002</v>
      </c>
      <c r="E74">
        <v>1912.6</v>
      </c>
      <c r="F74">
        <v>41.6</v>
      </c>
      <c r="G74">
        <v>18.399999999999999</v>
      </c>
    </row>
    <row r="75" spans="1:7">
      <c r="A75">
        <v>1964</v>
      </c>
      <c r="B75">
        <v>4</v>
      </c>
      <c r="C75">
        <v>2169.4</v>
      </c>
      <c r="D75">
        <v>3033.64</v>
      </c>
      <c r="E75">
        <v>1918</v>
      </c>
      <c r="F75">
        <v>41</v>
      </c>
      <c r="G75">
        <v>18.899999999999999</v>
      </c>
    </row>
    <row r="76" spans="1:7">
      <c r="A76">
        <v>1965</v>
      </c>
      <c r="B76">
        <v>1</v>
      </c>
      <c r="C76">
        <v>2193.3000000000002</v>
      </c>
      <c r="D76">
        <v>3108.1509999999998</v>
      </c>
      <c r="E76">
        <v>1960.3</v>
      </c>
      <c r="F76">
        <v>46.8</v>
      </c>
      <c r="G76">
        <v>19.2</v>
      </c>
    </row>
    <row r="77" spans="1:7">
      <c r="A77">
        <v>1965</v>
      </c>
      <c r="B77">
        <v>2</v>
      </c>
      <c r="C77">
        <v>2217.4</v>
      </c>
      <c r="D77">
        <v>3150.1669999999999</v>
      </c>
      <c r="E77">
        <v>1982</v>
      </c>
      <c r="F77">
        <v>48.5</v>
      </c>
      <c r="G77">
        <v>19.899999999999999</v>
      </c>
    </row>
    <row r="78" spans="1:7">
      <c r="A78">
        <v>1965</v>
      </c>
      <c r="B78">
        <v>3</v>
      </c>
      <c r="C78">
        <v>2278.4</v>
      </c>
      <c r="D78">
        <v>3214.076</v>
      </c>
      <c r="E78">
        <v>2016</v>
      </c>
      <c r="F78">
        <v>49.1</v>
      </c>
      <c r="G78">
        <v>20.5</v>
      </c>
    </row>
    <row r="79" spans="1:7">
      <c r="A79">
        <v>1965</v>
      </c>
      <c r="B79">
        <v>4</v>
      </c>
      <c r="C79">
        <v>2324.3000000000002</v>
      </c>
      <c r="D79">
        <v>3291.826</v>
      </c>
      <c r="E79">
        <v>2072.6999999999998</v>
      </c>
      <c r="F79">
        <v>51.9</v>
      </c>
      <c r="G79">
        <v>21.2</v>
      </c>
    </row>
    <row r="80" spans="1:7">
      <c r="A80">
        <v>1966</v>
      </c>
      <c r="B80">
        <v>1</v>
      </c>
      <c r="C80">
        <v>2345.9</v>
      </c>
      <c r="D80">
        <v>3372.3249999999998</v>
      </c>
      <c r="E80">
        <v>2103.1999999999998</v>
      </c>
      <c r="F80">
        <v>53.1</v>
      </c>
      <c r="G80">
        <v>21.3</v>
      </c>
    </row>
    <row r="81" spans="1:7">
      <c r="A81">
        <v>1966</v>
      </c>
      <c r="B81">
        <v>2</v>
      </c>
      <c r="C81">
        <v>2351.6999999999998</v>
      </c>
      <c r="D81">
        <v>3384.0070000000001</v>
      </c>
      <c r="E81">
        <v>2109</v>
      </c>
      <c r="F81">
        <v>53.3</v>
      </c>
      <c r="G81">
        <v>20.9</v>
      </c>
    </row>
    <row r="82" spans="1:7">
      <c r="A82">
        <v>1966</v>
      </c>
      <c r="B82">
        <v>3</v>
      </c>
      <c r="C82">
        <v>2381.3000000000002</v>
      </c>
      <c r="D82">
        <v>3406.2919999999999</v>
      </c>
      <c r="E82">
        <v>2133.1</v>
      </c>
      <c r="F82">
        <v>52.9</v>
      </c>
      <c r="G82">
        <v>20.5</v>
      </c>
    </row>
    <row r="83" spans="1:7">
      <c r="A83">
        <v>1966</v>
      </c>
      <c r="B83">
        <v>4</v>
      </c>
      <c r="C83">
        <v>2408.6</v>
      </c>
      <c r="D83">
        <v>3433.681</v>
      </c>
      <c r="E83">
        <v>2142</v>
      </c>
      <c r="F83">
        <v>51.9</v>
      </c>
      <c r="G83">
        <v>20</v>
      </c>
    </row>
    <row r="84" spans="1:7">
      <c r="A84">
        <v>1967</v>
      </c>
      <c r="B84">
        <v>1</v>
      </c>
      <c r="C84">
        <v>2445</v>
      </c>
      <c r="D84">
        <v>3464.114</v>
      </c>
      <c r="E84">
        <v>2154.6</v>
      </c>
      <c r="F84">
        <v>49.6</v>
      </c>
      <c r="G84">
        <v>21.1</v>
      </c>
    </row>
    <row r="85" spans="1:7">
      <c r="A85">
        <v>1967</v>
      </c>
      <c r="B85">
        <v>2</v>
      </c>
      <c r="C85">
        <v>2464.5</v>
      </c>
      <c r="D85">
        <v>3464.31</v>
      </c>
      <c r="E85">
        <v>2183.4</v>
      </c>
      <c r="F85">
        <v>49.6</v>
      </c>
      <c r="G85">
        <v>21.7</v>
      </c>
    </row>
    <row r="86" spans="1:7">
      <c r="A86">
        <v>1967</v>
      </c>
      <c r="B86">
        <v>3</v>
      </c>
      <c r="C86">
        <v>2488.1</v>
      </c>
      <c r="D86">
        <v>3491.7979999999998</v>
      </c>
      <c r="E86">
        <v>2194.5</v>
      </c>
      <c r="F86">
        <v>50.6</v>
      </c>
      <c r="G86">
        <v>22.1</v>
      </c>
    </row>
    <row r="87" spans="1:7">
      <c r="A87">
        <v>1967</v>
      </c>
      <c r="B87">
        <v>4</v>
      </c>
      <c r="C87">
        <v>2506.1</v>
      </c>
      <c r="D87">
        <v>3518.2049999999999</v>
      </c>
      <c r="E87">
        <v>2207.8000000000002</v>
      </c>
      <c r="F87">
        <v>52.9</v>
      </c>
      <c r="G87">
        <v>21.2</v>
      </c>
    </row>
    <row r="88" spans="1:7">
      <c r="A88">
        <v>1968</v>
      </c>
      <c r="B88">
        <v>1</v>
      </c>
      <c r="C88">
        <v>2549.8000000000002</v>
      </c>
      <c r="D88">
        <v>3590.6550000000002</v>
      </c>
      <c r="E88">
        <v>2260.3000000000002</v>
      </c>
      <c r="F88">
        <v>51.5</v>
      </c>
      <c r="G88">
        <v>22.6</v>
      </c>
    </row>
    <row r="89" spans="1:7">
      <c r="A89">
        <v>1968</v>
      </c>
      <c r="B89">
        <v>2</v>
      </c>
      <c r="C89">
        <v>2592.3000000000002</v>
      </c>
      <c r="D89">
        <v>3651.6179999999999</v>
      </c>
      <c r="E89">
        <v>2295.1</v>
      </c>
      <c r="F89">
        <v>52.6</v>
      </c>
      <c r="G89">
        <v>23.4</v>
      </c>
    </row>
    <row r="90" spans="1:7">
      <c r="A90">
        <v>1968</v>
      </c>
      <c r="B90">
        <v>3</v>
      </c>
      <c r="C90">
        <v>2597.1</v>
      </c>
      <c r="D90">
        <v>3676.4549999999999</v>
      </c>
      <c r="E90">
        <v>2338.1999999999998</v>
      </c>
      <c r="F90">
        <v>52.8</v>
      </c>
      <c r="G90">
        <v>24</v>
      </c>
    </row>
    <row r="91" spans="1:7">
      <c r="A91">
        <v>1968</v>
      </c>
      <c r="B91">
        <v>4</v>
      </c>
      <c r="C91">
        <v>2613.6999999999998</v>
      </c>
      <c r="D91">
        <v>3691.9659999999999</v>
      </c>
      <c r="E91">
        <v>2348.6</v>
      </c>
      <c r="F91">
        <v>54.3</v>
      </c>
      <c r="G91">
        <v>24.2</v>
      </c>
    </row>
    <row r="92" spans="1:7">
      <c r="A92">
        <v>1969</v>
      </c>
      <c r="B92">
        <v>1</v>
      </c>
      <c r="C92">
        <v>2617.5</v>
      </c>
      <c r="D92">
        <v>3750.18</v>
      </c>
      <c r="E92">
        <v>2375</v>
      </c>
      <c r="F92">
        <v>53.8</v>
      </c>
      <c r="G92">
        <v>24</v>
      </c>
    </row>
    <row r="93" spans="1:7">
      <c r="A93">
        <v>1969</v>
      </c>
      <c r="B93">
        <v>2</v>
      </c>
      <c r="C93">
        <v>2643.5</v>
      </c>
      <c r="D93">
        <v>3760.8809999999999</v>
      </c>
      <c r="E93">
        <v>2390</v>
      </c>
      <c r="F93">
        <v>52.1</v>
      </c>
      <c r="G93">
        <v>24.1</v>
      </c>
    </row>
    <row r="94" spans="1:7">
      <c r="A94">
        <v>1969</v>
      </c>
      <c r="B94">
        <v>3</v>
      </c>
      <c r="C94">
        <v>2696.6</v>
      </c>
      <c r="D94">
        <v>3784.2449999999999</v>
      </c>
      <c r="E94">
        <v>2401</v>
      </c>
      <c r="F94">
        <v>50.4</v>
      </c>
      <c r="G94">
        <v>24.3</v>
      </c>
    </row>
    <row r="95" spans="1:7">
      <c r="A95">
        <v>1969</v>
      </c>
      <c r="B95">
        <v>4</v>
      </c>
      <c r="C95">
        <v>2716.1</v>
      </c>
      <c r="D95">
        <v>3766.28</v>
      </c>
      <c r="E95">
        <v>2419.8000000000002</v>
      </c>
      <c r="F95">
        <v>49.4</v>
      </c>
      <c r="G95">
        <v>24.6</v>
      </c>
    </row>
    <row r="96" spans="1:7">
      <c r="A96">
        <v>1970</v>
      </c>
      <c r="B96">
        <v>1</v>
      </c>
      <c r="C96">
        <v>2729.4</v>
      </c>
      <c r="D96">
        <v>3759.9969999999998</v>
      </c>
      <c r="E96">
        <v>2434.4</v>
      </c>
      <c r="F96">
        <v>46.9</v>
      </c>
      <c r="G96">
        <v>24.5</v>
      </c>
    </row>
    <row r="97" spans="1:7">
      <c r="A97">
        <v>1970</v>
      </c>
      <c r="B97">
        <v>2</v>
      </c>
      <c r="C97">
        <v>2777.4</v>
      </c>
      <c r="D97">
        <v>3767.0659999999998</v>
      </c>
      <c r="E97">
        <v>2445.6999999999998</v>
      </c>
      <c r="F97">
        <v>46.6</v>
      </c>
      <c r="G97">
        <v>24.3</v>
      </c>
    </row>
    <row r="98" spans="1:7">
      <c r="A98">
        <v>1970</v>
      </c>
      <c r="B98">
        <v>3</v>
      </c>
      <c r="C98">
        <v>2814.6</v>
      </c>
      <c r="D98">
        <v>3800.5410000000002</v>
      </c>
      <c r="E98">
        <v>2467.1</v>
      </c>
      <c r="F98">
        <v>47.3</v>
      </c>
      <c r="G98">
        <v>24.2</v>
      </c>
    </row>
    <row r="99" spans="1:7">
      <c r="A99">
        <v>1970</v>
      </c>
      <c r="B99">
        <v>4</v>
      </c>
      <c r="C99">
        <v>2804.4</v>
      </c>
      <c r="D99">
        <v>3759.8009999999999</v>
      </c>
      <c r="E99">
        <v>2460.1</v>
      </c>
      <c r="F99">
        <v>44.3</v>
      </c>
      <c r="G99">
        <v>24.2</v>
      </c>
    </row>
    <row r="100" spans="1:7">
      <c r="A100">
        <v>1971</v>
      </c>
      <c r="B100">
        <v>1</v>
      </c>
      <c r="C100">
        <v>2863.6</v>
      </c>
      <c r="D100">
        <v>3864.0569999999998</v>
      </c>
      <c r="E100">
        <v>2507.4</v>
      </c>
      <c r="F100">
        <v>51</v>
      </c>
      <c r="G100">
        <v>25</v>
      </c>
    </row>
    <row r="101" spans="1:7">
      <c r="A101">
        <v>1971</v>
      </c>
      <c r="B101">
        <v>2</v>
      </c>
      <c r="C101">
        <v>2904.6</v>
      </c>
      <c r="D101">
        <v>3885.8510000000001</v>
      </c>
      <c r="E101">
        <v>2530.5</v>
      </c>
      <c r="F101">
        <v>53</v>
      </c>
      <c r="G101">
        <v>25</v>
      </c>
    </row>
    <row r="102" spans="1:7">
      <c r="A102">
        <v>1971</v>
      </c>
      <c r="B102">
        <v>3</v>
      </c>
      <c r="C102">
        <v>2916.4</v>
      </c>
      <c r="D102">
        <v>3916.6759999999999</v>
      </c>
      <c r="E102">
        <v>2550.6999999999998</v>
      </c>
      <c r="F102">
        <v>56.5</v>
      </c>
      <c r="G102">
        <v>25.2</v>
      </c>
    </row>
    <row r="103" spans="1:7">
      <c r="A103">
        <v>1971</v>
      </c>
      <c r="B103">
        <v>4</v>
      </c>
      <c r="C103">
        <v>2946.8</v>
      </c>
      <c r="D103">
        <v>3927.8670000000002</v>
      </c>
      <c r="E103">
        <v>2593.1999999999998</v>
      </c>
      <c r="F103">
        <v>58.2</v>
      </c>
      <c r="G103">
        <v>24.9</v>
      </c>
    </row>
    <row r="104" spans="1:7">
      <c r="A104">
        <v>1972</v>
      </c>
      <c r="B104">
        <v>1</v>
      </c>
      <c r="C104">
        <v>2965</v>
      </c>
      <c r="D104">
        <v>3997.6660000000002</v>
      </c>
      <c r="E104">
        <v>2627.6</v>
      </c>
      <c r="F104">
        <v>62.1</v>
      </c>
      <c r="G104">
        <v>26.1</v>
      </c>
    </row>
    <row r="105" spans="1:7">
      <c r="A105">
        <v>1972</v>
      </c>
      <c r="B105">
        <v>2</v>
      </c>
      <c r="C105">
        <v>2991.5</v>
      </c>
      <c r="D105">
        <v>4092.105</v>
      </c>
      <c r="E105">
        <v>2677.3</v>
      </c>
      <c r="F105">
        <v>62.9</v>
      </c>
      <c r="G105">
        <v>26.4</v>
      </c>
    </row>
    <row r="106" spans="1:7">
      <c r="A106">
        <v>1972</v>
      </c>
      <c r="B106">
        <v>3</v>
      </c>
      <c r="C106">
        <v>3053.6</v>
      </c>
      <c r="D106">
        <v>4131.0789999999997</v>
      </c>
      <c r="E106">
        <v>2718.4</v>
      </c>
      <c r="F106">
        <v>65.7</v>
      </c>
      <c r="G106">
        <v>27.1</v>
      </c>
    </row>
    <row r="107" spans="1:7">
      <c r="A107">
        <v>1972</v>
      </c>
      <c r="B107">
        <v>4</v>
      </c>
      <c r="C107">
        <v>3175</v>
      </c>
      <c r="D107">
        <v>4198.7179999999998</v>
      </c>
      <c r="E107">
        <v>2781.7</v>
      </c>
      <c r="F107">
        <v>71.2</v>
      </c>
      <c r="G107">
        <v>27.7</v>
      </c>
    </row>
    <row r="108" spans="1:7">
      <c r="A108">
        <v>1973</v>
      </c>
      <c r="B108">
        <v>1</v>
      </c>
      <c r="C108">
        <v>3210.5</v>
      </c>
      <c r="D108">
        <v>4305.33</v>
      </c>
      <c r="E108">
        <v>2832</v>
      </c>
      <c r="F108">
        <v>82.2</v>
      </c>
      <c r="G108">
        <v>28.4</v>
      </c>
    </row>
    <row r="109" spans="1:7">
      <c r="A109">
        <v>1973</v>
      </c>
      <c r="B109">
        <v>2</v>
      </c>
      <c r="C109">
        <v>3240.3</v>
      </c>
      <c r="D109">
        <v>4355.1019999999999</v>
      </c>
      <c r="E109">
        <v>2830.5</v>
      </c>
      <c r="F109">
        <v>84.5</v>
      </c>
      <c r="G109">
        <v>29.3</v>
      </c>
    </row>
    <row r="110" spans="1:7">
      <c r="A110">
        <v>1973</v>
      </c>
      <c r="B110">
        <v>3</v>
      </c>
      <c r="C110">
        <v>3258.3</v>
      </c>
      <c r="D110">
        <v>4331.9340000000002</v>
      </c>
      <c r="E110">
        <v>2840.6</v>
      </c>
      <c r="F110">
        <v>84.7</v>
      </c>
      <c r="G110">
        <v>30.4</v>
      </c>
    </row>
    <row r="111" spans="1:7">
      <c r="A111">
        <v>1973</v>
      </c>
      <c r="B111">
        <v>4</v>
      </c>
      <c r="C111">
        <v>3297.6</v>
      </c>
      <c r="D111">
        <v>4373.2629999999999</v>
      </c>
      <c r="E111">
        <v>2832.2</v>
      </c>
      <c r="F111">
        <v>88.1</v>
      </c>
      <c r="G111">
        <v>31.5</v>
      </c>
    </row>
    <row r="112" spans="1:7">
      <c r="A112">
        <v>1974</v>
      </c>
      <c r="B112">
        <v>1</v>
      </c>
      <c r="C112">
        <v>3246.6</v>
      </c>
      <c r="D112">
        <v>4335.37</v>
      </c>
      <c r="E112">
        <v>2807.8</v>
      </c>
      <c r="F112">
        <v>92.8</v>
      </c>
      <c r="G112">
        <v>32.5</v>
      </c>
    </row>
    <row r="113" spans="1:7">
      <c r="A113">
        <v>1974</v>
      </c>
      <c r="B113">
        <v>2</v>
      </c>
      <c r="C113">
        <v>3219.9</v>
      </c>
      <c r="D113">
        <v>4347.9359999999997</v>
      </c>
      <c r="E113">
        <v>2819</v>
      </c>
      <c r="F113">
        <v>95.3</v>
      </c>
      <c r="G113">
        <v>33.299999999999997</v>
      </c>
    </row>
    <row r="114" spans="1:7">
      <c r="A114">
        <v>1974</v>
      </c>
      <c r="B114">
        <v>3</v>
      </c>
      <c r="C114">
        <v>3231.1</v>
      </c>
      <c r="D114">
        <v>4305.8209999999999</v>
      </c>
      <c r="E114">
        <v>2831.6</v>
      </c>
      <c r="F114">
        <v>101.4</v>
      </c>
      <c r="G114">
        <v>33.6</v>
      </c>
    </row>
    <row r="115" spans="1:7">
      <c r="A115">
        <v>1974</v>
      </c>
      <c r="B115">
        <v>4</v>
      </c>
      <c r="C115">
        <v>3217.3</v>
      </c>
      <c r="D115">
        <v>4288.9359999999997</v>
      </c>
      <c r="E115">
        <v>2790.8</v>
      </c>
      <c r="F115">
        <v>90.3</v>
      </c>
      <c r="G115">
        <v>33.5</v>
      </c>
    </row>
    <row r="116" spans="1:7">
      <c r="A116">
        <v>1975</v>
      </c>
      <c r="B116">
        <v>1</v>
      </c>
      <c r="C116">
        <v>3205.7</v>
      </c>
      <c r="D116">
        <v>4237.5929999999998</v>
      </c>
      <c r="E116">
        <v>2814.6</v>
      </c>
      <c r="F116">
        <v>80</v>
      </c>
      <c r="G116">
        <v>32.9</v>
      </c>
    </row>
    <row r="117" spans="1:7">
      <c r="A117">
        <v>1975</v>
      </c>
      <c r="B117">
        <v>2</v>
      </c>
      <c r="C117">
        <v>3354.6</v>
      </c>
      <c r="D117">
        <v>4268.6139999999996</v>
      </c>
      <c r="E117">
        <v>2860.5</v>
      </c>
      <c r="F117">
        <v>85.4</v>
      </c>
      <c r="G117">
        <v>32.700000000000003</v>
      </c>
    </row>
    <row r="118" spans="1:7">
      <c r="A118">
        <v>1975</v>
      </c>
      <c r="B118">
        <v>3</v>
      </c>
      <c r="C118">
        <v>3309.1</v>
      </c>
      <c r="D118">
        <v>4340.8670000000002</v>
      </c>
      <c r="E118">
        <v>2901.2</v>
      </c>
      <c r="F118">
        <v>102.3</v>
      </c>
      <c r="G118">
        <v>32.9</v>
      </c>
    </row>
    <row r="119" spans="1:7">
      <c r="A119">
        <v>1975</v>
      </c>
      <c r="B119">
        <v>4</v>
      </c>
      <c r="C119">
        <v>3342</v>
      </c>
      <c r="D119">
        <v>4397.8059999999996</v>
      </c>
      <c r="E119">
        <v>2931.4</v>
      </c>
      <c r="F119">
        <v>107.9</v>
      </c>
      <c r="G119">
        <v>33.4</v>
      </c>
    </row>
    <row r="120" spans="1:7">
      <c r="A120">
        <v>1976</v>
      </c>
      <c r="B120">
        <v>1</v>
      </c>
      <c r="C120">
        <v>3390.9</v>
      </c>
      <c r="D120">
        <v>4496.7610000000004</v>
      </c>
      <c r="E120">
        <v>2989.7</v>
      </c>
      <c r="F120">
        <v>113.2</v>
      </c>
      <c r="G120">
        <v>36.200000000000003</v>
      </c>
    </row>
    <row r="121" spans="1:7">
      <c r="A121">
        <v>1976</v>
      </c>
      <c r="B121">
        <v>2</v>
      </c>
      <c r="C121">
        <v>3417.5</v>
      </c>
      <c r="D121">
        <v>4530.335</v>
      </c>
      <c r="E121">
        <v>3016.3</v>
      </c>
      <c r="F121">
        <v>114.3</v>
      </c>
      <c r="G121">
        <v>38.1</v>
      </c>
    </row>
    <row r="122" spans="1:7">
      <c r="A122">
        <v>1976</v>
      </c>
      <c r="B122">
        <v>3</v>
      </c>
      <c r="C122">
        <v>3448</v>
      </c>
      <c r="D122">
        <v>4552.03</v>
      </c>
      <c r="E122">
        <v>3047.9</v>
      </c>
      <c r="F122">
        <v>115.1</v>
      </c>
      <c r="G122">
        <v>39.9</v>
      </c>
    </row>
    <row r="123" spans="1:7">
      <c r="A123">
        <v>1976</v>
      </c>
      <c r="B123">
        <v>4</v>
      </c>
      <c r="C123">
        <v>3473</v>
      </c>
      <c r="D123">
        <v>4584.6229999999996</v>
      </c>
      <c r="E123">
        <v>3088</v>
      </c>
      <c r="F123">
        <v>115.1</v>
      </c>
      <c r="G123">
        <v>41.9</v>
      </c>
    </row>
    <row r="124" spans="1:7">
      <c r="A124">
        <v>1977</v>
      </c>
      <c r="B124">
        <v>1</v>
      </c>
      <c r="C124">
        <v>3479.7</v>
      </c>
      <c r="D124">
        <v>4639.99</v>
      </c>
      <c r="E124">
        <v>3124.6</v>
      </c>
      <c r="F124">
        <v>126.6</v>
      </c>
      <c r="G124">
        <v>42.7</v>
      </c>
    </row>
    <row r="125" spans="1:7">
      <c r="A125">
        <v>1977</v>
      </c>
      <c r="B125">
        <v>2</v>
      </c>
      <c r="C125">
        <v>3517.4</v>
      </c>
      <c r="D125">
        <v>4731.0919999999996</v>
      </c>
      <c r="E125">
        <v>3141.5</v>
      </c>
      <c r="F125">
        <v>135.4</v>
      </c>
      <c r="G125">
        <v>43.9</v>
      </c>
    </row>
    <row r="126" spans="1:7">
      <c r="A126">
        <v>1977</v>
      </c>
      <c r="B126">
        <v>3</v>
      </c>
      <c r="C126">
        <v>3570.6</v>
      </c>
      <c r="D126">
        <v>4815.8119999999999</v>
      </c>
      <c r="E126">
        <v>3171.4</v>
      </c>
      <c r="F126">
        <v>141.1</v>
      </c>
      <c r="G126">
        <v>45.6</v>
      </c>
    </row>
    <row r="127" spans="1:7">
      <c r="A127">
        <v>1977</v>
      </c>
      <c r="B127">
        <v>4</v>
      </c>
      <c r="C127">
        <v>3642.1</v>
      </c>
      <c r="D127">
        <v>4815.3209999999999</v>
      </c>
      <c r="E127">
        <v>3219.1</v>
      </c>
      <c r="F127">
        <v>140.69999999999999</v>
      </c>
      <c r="G127">
        <v>46.8</v>
      </c>
    </row>
    <row r="128" spans="1:7">
      <c r="A128">
        <v>1978</v>
      </c>
      <c r="B128">
        <v>1</v>
      </c>
      <c r="C128">
        <v>3663.5</v>
      </c>
      <c r="D128">
        <v>4830.8320000000003</v>
      </c>
      <c r="E128">
        <v>3237.3</v>
      </c>
      <c r="F128">
        <v>144</v>
      </c>
      <c r="G128">
        <v>48.3</v>
      </c>
    </row>
    <row r="129" spans="1:7">
      <c r="A129">
        <v>1978</v>
      </c>
      <c r="B129">
        <v>2</v>
      </c>
      <c r="C129">
        <v>3706.3</v>
      </c>
      <c r="D129">
        <v>5021.183</v>
      </c>
      <c r="E129">
        <v>3306.4</v>
      </c>
      <c r="F129">
        <v>160.69999999999999</v>
      </c>
      <c r="G129">
        <v>49.5</v>
      </c>
    </row>
    <row r="130" spans="1:7">
      <c r="A130">
        <v>1978</v>
      </c>
      <c r="B130">
        <v>3</v>
      </c>
      <c r="C130">
        <v>3737.6</v>
      </c>
      <c r="D130">
        <v>5070.6610000000001</v>
      </c>
      <c r="E130">
        <v>3320.8</v>
      </c>
      <c r="F130">
        <v>165.2</v>
      </c>
      <c r="G130">
        <v>51.8</v>
      </c>
    </row>
    <row r="131" spans="1:7">
      <c r="A131">
        <v>1978</v>
      </c>
      <c r="B131">
        <v>4</v>
      </c>
      <c r="C131">
        <v>3768.3</v>
      </c>
      <c r="D131">
        <v>5137.4160000000002</v>
      </c>
      <c r="E131">
        <v>3347.8</v>
      </c>
      <c r="F131">
        <v>175.1</v>
      </c>
      <c r="G131">
        <v>53.7</v>
      </c>
    </row>
    <row r="132" spans="1:7">
      <c r="A132">
        <v>1979</v>
      </c>
      <c r="B132">
        <v>1</v>
      </c>
      <c r="C132">
        <v>3811.7</v>
      </c>
      <c r="D132">
        <v>5147.43</v>
      </c>
      <c r="E132">
        <v>3365.3</v>
      </c>
      <c r="F132">
        <v>176.2</v>
      </c>
      <c r="G132">
        <v>55.4</v>
      </c>
    </row>
    <row r="133" spans="1:7">
      <c r="A133">
        <v>1979</v>
      </c>
      <c r="B133">
        <v>2</v>
      </c>
      <c r="C133">
        <v>3785.2</v>
      </c>
      <c r="D133">
        <v>5152.3379999999997</v>
      </c>
      <c r="E133">
        <v>3364</v>
      </c>
      <c r="F133">
        <v>182.5</v>
      </c>
      <c r="G133">
        <v>56.9</v>
      </c>
    </row>
    <row r="134" spans="1:7">
      <c r="A134">
        <v>1979</v>
      </c>
      <c r="B134">
        <v>3</v>
      </c>
      <c r="C134">
        <v>3807.2</v>
      </c>
      <c r="D134">
        <v>5189.4459999999999</v>
      </c>
      <c r="E134">
        <v>3397.3</v>
      </c>
      <c r="F134">
        <v>186.5</v>
      </c>
      <c r="G134">
        <v>58</v>
      </c>
    </row>
    <row r="135" spans="1:7">
      <c r="A135">
        <v>1979</v>
      </c>
      <c r="B135">
        <v>4</v>
      </c>
      <c r="C135">
        <v>3841.5</v>
      </c>
      <c r="D135">
        <v>5204.6620000000003</v>
      </c>
      <c r="E135">
        <v>3407.1</v>
      </c>
      <c r="F135">
        <v>182.3</v>
      </c>
      <c r="G135">
        <v>59.7</v>
      </c>
    </row>
    <row r="136" spans="1:7">
      <c r="A136">
        <v>1980</v>
      </c>
      <c r="B136">
        <v>1</v>
      </c>
      <c r="C136">
        <v>3869.4</v>
      </c>
      <c r="D136">
        <v>5221.2529999999997</v>
      </c>
      <c r="E136">
        <v>3401.7</v>
      </c>
      <c r="F136">
        <v>183.9</v>
      </c>
      <c r="G136">
        <v>61.8</v>
      </c>
    </row>
    <row r="137" spans="1:7">
      <c r="A137">
        <v>1980</v>
      </c>
      <c r="B137">
        <v>2</v>
      </c>
      <c r="C137">
        <v>3800</v>
      </c>
      <c r="D137">
        <v>5115.9170000000004</v>
      </c>
      <c r="E137">
        <v>3325.8</v>
      </c>
      <c r="F137">
        <v>153.80000000000001</v>
      </c>
      <c r="G137">
        <v>64.3</v>
      </c>
    </row>
    <row r="138" spans="1:7">
      <c r="A138">
        <v>1980</v>
      </c>
      <c r="B138">
        <v>3</v>
      </c>
      <c r="C138">
        <v>3839</v>
      </c>
      <c r="D138">
        <v>5107.3760000000002</v>
      </c>
      <c r="E138">
        <v>3362</v>
      </c>
      <c r="F138">
        <v>161.80000000000001</v>
      </c>
      <c r="G138">
        <v>64.7</v>
      </c>
    </row>
    <row r="139" spans="1:7">
      <c r="A139">
        <v>1980</v>
      </c>
      <c r="B139">
        <v>4</v>
      </c>
      <c r="C139">
        <v>3920.8</v>
      </c>
      <c r="D139">
        <v>5202.1099999999997</v>
      </c>
      <c r="E139">
        <v>3406.8</v>
      </c>
      <c r="F139">
        <v>165.7</v>
      </c>
      <c r="G139">
        <v>65.599999999999994</v>
      </c>
    </row>
    <row r="140" spans="1:7">
      <c r="A140">
        <v>1981</v>
      </c>
      <c r="B140">
        <v>1</v>
      </c>
      <c r="C140">
        <v>3905.7</v>
      </c>
      <c r="D140">
        <v>5307.5439999999999</v>
      </c>
      <c r="E140">
        <v>3421.3</v>
      </c>
      <c r="F140">
        <v>169.8</v>
      </c>
      <c r="G140">
        <v>68.7</v>
      </c>
    </row>
    <row r="141" spans="1:7">
      <c r="A141">
        <v>1981</v>
      </c>
      <c r="B141">
        <v>2</v>
      </c>
      <c r="C141">
        <v>3915</v>
      </c>
      <c r="D141">
        <v>5266.1170000000002</v>
      </c>
      <c r="E141">
        <v>3422.1</v>
      </c>
      <c r="F141">
        <v>154.9</v>
      </c>
      <c r="G141">
        <v>72.7</v>
      </c>
    </row>
    <row r="142" spans="1:7">
      <c r="A142">
        <v>1981</v>
      </c>
      <c r="B142">
        <v>3</v>
      </c>
      <c r="C142">
        <v>4003.1</v>
      </c>
      <c r="D142">
        <v>5329.8289999999997</v>
      </c>
      <c r="E142">
        <v>3435.7</v>
      </c>
      <c r="F142">
        <v>158.69999999999999</v>
      </c>
      <c r="G142">
        <v>75.900000000000006</v>
      </c>
    </row>
    <row r="143" spans="1:7">
      <c r="A143">
        <v>1981</v>
      </c>
      <c r="B143">
        <v>4</v>
      </c>
      <c r="C143">
        <v>4012.8</v>
      </c>
      <c r="D143">
        <v>5263.3680000000004</v>
      </c>
      <c r="E143">
        <v>3409.7</v>
      </c>
      <c r="F143">
        <v>154.30000000000001</v>
      </c>
      <c r="G143">
        <v>77.7</v>
      </c>
    </row>
    <row r="144" spans="1:7">
      <c r="A144">
        <v>1982</v>
      </c>
      <c r="B144">
        <v>1</v>
      </c>
      <c r="C144">
        <v>4013.3</v>
      </c>
      <c r="D144">
        <v>5177.0770000000002</v>
      </c>
      <c r="E144">
        <v>3432.2</v>
      </c>
      <c r="F144">
        <v>133</v>
      </c>
      <c r="G144">
        <v>77.7</v>
      </c>
    </row>
    <row r="145" spans="1:7">
      <c r="A145">
        <v>1982</v>
      </c>
      <c r="B145">
        <v>2</v>
      </c>
      <c r="C145">
        <v>4041.9</v>
      </c>
      <c r="D145">
        <v>5204.8590000000004</v>
      </c>
      <c r="E145">
        <v>3444.3</v>
      </c>
      <c r="F145">
        <v>134.1</v>
      </c>
      <c r="G145">
        <v>76.5</v>
      </c>
    </row>
    <row r="146" spans="1:7">
      <c r="A146">
        <v>1982</v>
      </c>
      <c r="B146">
        <v>3</v>
      </c>
      <c r="C146">
        <v>4059.3</v>
      </c>
      <c r="D146">
        <v>5185.2250000000004</v>
      </c>
      <c r="E146">
        <v>3470.8</v>
      </c>
      <c r="F146">
        <v>132.30000000000001</v>
      </c>
      <c r="G146">
        <v>77.099999999999994</v>
      </c>
    </row>
    <row r="147" spans="1:7">
      <c r="A147">
        <v>1982</v>
      </c>
      <c r="B147">
        <v>4</v>
      </c>
      <c r="C147">
        <v>4066.2</v>
      </c>
      <c r="D147">
        <v>5189.8389999999999</v>
      </c>
      <c r="E147">
        <v>3533.9</v>
      </c>
      <c r="F147">
        <v>128.69999999999999</v>
      </c>
      <c r="G147">
        <v>79.5</v>
      </c>
    </row>
    <row r="148" spans="1:7">
      <c r="A148">
        <v>1983</v>
      </c>
      <c r="B148">
        <v>1</v>
      </c>
      <c r="C148">
        <v>4100.3999999999996</v>
      </c>
      <c r="D148">
        <v>5253.8450000000003</v>
      </c>
      <c r="E148">
        <v>3568.5</v>
      </c>
      <c r="F148">
        <v>131.1</v>
      </c>
      <c r="G148">
        <v>81</v>
      </c>
    </row>
    <row r="149" spans="1:7">
      <c r="A149">
        <v>1983</v>
      </c>
      <c r="B149">
        <v>2</v>
      </c>
      <c r="C149">
        <v>4132.7</v>
      </c>
      <c r="D149">
        <v>5372.3360000000002</v>
      </c>
      <c r="E149">
        <v>3639.5</v>
      </c>
      <c r="F149">
        <v>150.9</v>
      </c>
      <c r="G149">
        <v>82.1</v>
      </c>
    </row>
    <row r="150" spans="1:7">
      <c r="A150">
        <v>1983</v>
      </c>
      <c r="B150">
        <v>3</v>
      </c>
      <c r="C150">
        <v>4191.6000000000004</v>
      </c>
      <c r="D150">
        <v>5478.36</v>
      </c>
      <c r="E150">
        <v>3704.1</v>
      </c>
      <c r="F150">
        <v>163</v>
      </c>
      <c r="G150">
        <v>84.3</v>
      </c>
    </row>
    <row r="151" spans="1:7">
      <c r="A151">
        <v>1983</v>
      </c>
      <c r="B151">
        <v>4</v>
      </c>
      <c r="C151">
        <v>4286.5</v>
      </c>
      <c r="D151">
        <v>5590.4690000000001</v>
      </c>
      <c r="E151">
        <v>3762.5</v>
      </c>
      <c r="F151">
        <v>167.9</v>
      </c>
      <c r="G151">
        <v>86.4</v>
      </c>
    </row>
    <row r="152" spans="1:7">
      <c r="A152">
        <v>1984</v>
      </c>
      <c r="B152">
        <v>1</v>
      </c>
      <c r="C152">
        <v>4385.5</v>
      </c>
      <c r="D152">
        <v>5699.83</v>
      </c>
      <c r="E152">
        <v>3794.9</v>
      </c>
      <c r="F152">
        <v>176.6</v>
      </c>
      <c r="G152">
        <v>88.6</v>
      </c>
    </row>
    <row r="153" spans="1:7">
      <c r="A153">
        <v>1984</v>
      </c>
      <c r="B153">
        <v>2</v>
      </c>
      <c r="C153">
        <v>4467</v>
      </c>
      <c r="D153">
        <v>5797.902</v>
      </c>
      <c r="E153">
        <v>3849.3</v>
      </c>
      <c r="F153">
        <v>177.3</v>
      </c>
      <c r="G153">
        <v>90.9</v>
      </c>
    </row>
    <row r="154" spans="1:7">
      <c r="A154">
        <v>1984</v>
      </c>
      <c r="B154">
        <v>3</v>
      </c>
      <c r="C154">
        <v>4539.8</v>
      </c>
      <c r="D154">
        <v>5854.2510000000002</v>
      </c>
      <c r="E154">
        <v>3879.1</v>
      </c>
      <c r="F154">
        <v>164.9</v>
      </c>
      <c r="G154">
        <v>91.1</v>
      </c>
    </row>
    <row r="155" spans="1:7">
      <c r="A155">
        <v>1984</v>
      </c>
      <c r="B155">
        <v>4</v>
      </c>
      <c r="C155">
        <v>4583.8999999999996</v>
      </c>
      <c r="D155">
        <v>5902.3540000000003</v>
      </c>
      <c r="E155">
        <v>3930.2</v>
      </c>
      <c r="F155">
        <v>165.5</v>
      </c>
      <c r="G155">
        <v>92.7</v>
      </c>
    </row>
    <row r="156" spans="1:7">
      <c r="A156">
        <v>1985</v>
      </c>
      <c r="B156">
        <v>1</v>
      </c>
      <c r="C156">
        <v>4580</v>
      </c>
      <c r="D156">
        <v>5956.9369999999999</v>
      </c>
      <c r="E156">
        <v>3996.2</v>
      </c>
      <c r="F156">
        <v>153.5</v>
      </c>
      <c r="G156">
        <v>95.4</v>
      </c>
    </row>
    <row r="157" spans="1:7">
      <c r="A157">
        <v>1985</v>
      </c>
      <c r="B157">
        <v>2</v>
      </c>
      <c r="C157">
        <v>4673.3999999999996</v>
      </c>
      <c r="D157">
        <v>6007.7889999999998</v>
      </c>
      <c r="E157">
        <v>4032.6</v>
      </c>
      <c r="F157">
        <v>156.30000000000001</v>
      </c>
      <c r="G157">
        <v>97</v>
      </c>
    </row>
    <row r="158" spans="1:7">
      <c r="A158">
        <v>1985</v>
      </c>
      <c r="B158">
        <v>3</v>
      </c>
      <c r="C158">
        <v>4640.3999999999996</v>
      </c>
      <c r="D158">
        <v>6101.7370000000001</v>
      </c>
      <c r="E158">
        <v>4109.1000000000004</v>
      </c>
      <c r="F158">
        <v>159.5</v>
      </c>
      <c r="G158">
        <v>98.3</v>
      </c>
    </row>
    <row r="159" spans="1:7">
      <c r="A159">
        <v>1985</v>
      </c>
      <c r="B159">
        <v>4</v>
      </c>
      <c r="C159">
        <v>4688</v>
      </c>
      <c r="D159">
        <v>6148.5640000000003</v>
      </c>
      <c r="E159">
        <v>4118.3999999999996</v>
      </c>
      <c r="F159">
        <v>162.80000000000001</v>
      </c>
      <c r="G159">
        <v>99.5</v>
      </c>
    </row>
    <row r="160" spans="1:7">
      <c r="A160">
        <v>1986</v>
      </c>
      <c r="B160">
        <v>1</v>
      </c>
      <c r="C160">
        <v>4744.2</v>
      </c>
      <c r="D160">
        <v>6207.3680000000004</v>
      </c>
      <c r="E160">
        <v>4152.7</v>
      </c>
      <c r="F160">
        <v>131.6</v>
      </c>
      <c r="G160">
        <v>103.2</v>
      </c>
    </row>
    <row r="161" spans="1:7">
      <c r="A161">
        <v>1986</v>
      </c>
      <c r="B161">
        <v>2</v>
      </c>
      <c r="C161">
        <v>4793.8</v>
      </c>
      <c r="D161">
        <v>6232.0079999999998</v>
      </c>
      <c r="E161">
        <v>4196.7</v>
      </c>
      <c r="F161">
        <v>133.4</v>
      </c>
      <c r="G161">
        <v>106.4</v>
      </c>
    </row>
    <row r="162" spans="1:7">
      <c r="A162">
        <v>1986</v>
      </c>
      <c r="B162">
        <v>3</v>
      </c>
      <c r="C162">
        <v>4813.6000000000004</v>
      </c>
      <c r="D162">
        <v>6291.6949999999997</v>
      </c>
      <c r="E162">
        <v>4269.5</v>
      </c>
      <c r="F162">
        <v>135.9</v>
      </c>
      <c r="G162">
        <v>107.5</v>
      </c>
    </row>
    <row r="163" spans="1:7">
      <c r="A163">
        <v>1986</v>
      </c>
      <c r="B163">
        <v>4</v>
      </c>
      <c r="C163">
        <v>4813.3999999999996</v>
      </c>
      <c r="D163">
        <v>6323.4040000000005</v>
      </c>
      <c r="E163">
        <v>4296.7</v>
      </c>
      <c r="F163">
        <v>144.30000000000001</v>
      </c>
      <c r="G163">
        <v>107.6</v>
      </c>
    </row>
    <row r="164" spans="1:7">
      <c r="A164">
        <v>1987</v>
      </c>
      <c r="B164">
        <v>1</v>
      </c>
      <c r="C164">
        <v>4854.6000000000004</v>
      </c>
      <c r="D164">
        <v>6365.0280000000002</v>
      </c>
      <c r="E164">
        <v>4298.6000000000004</v>
      </c>
      <c r="F164">
        <v>162.80000000000001</v>
      </c>
      <c r="G164">
        <v>108.8</v>
      </c>
    </row>
    <row r="165" spans="1:7">
      <c r="A165">
        <v>1987</v>
      </c>
      <c r="B165">
        <v>2</v>
      </c>
      <c r="C165">
        <v>4802.3</v>
      </c>
      <c r="D165">
        <v>6435.0230000000001</v>
      </c>
      <c r="E165">
        <v>4357.3</v>
      </c>
      <c r="F165">
        <v>186.5</v>
      </c>
      <c r="G165">
        <v>109.8</v>
      </c>
    </row>
    <row r="166" spans="1:7">
      <c r="A166">
        <v>1987</v>
      </c>
      <c r="B166">
        <v>3</v>
      </c>
      <c r="C166">
        <v>4887.3</v>
      </c>
      <c r="D166">
        <v>6493.4340000000002</v>
      </c>
      <c r="E166">
        <v>4406.3</v>
      </c>
      <c r="F166">
        <v>195.4</v>
      </c>
      <c r="G166">
        <v>113.3</v>
      </c>
    </row>
    <row r="167" spans="1:7">
      <c r="A167">
        <v>1987</v>
      </c>
      <c r="B167">
        <v>4</v>
      </c>
      <c r="C167">
        <v>4954.1000000000004</v>
      </c>
      <c r="D167">
        <v>6606.82</v>
      </c>
      <c r="E167">
        <v>4417.1000000000004</v>
      </c>
      <c r="F167">
        <v>204</v>
      </c>
      <c r="G167">
        <v>117.2</v>
      </c>
    </row>
    <row r="168" spans="1:7">
      <c r="A168">
        <v>1988</v>
      </c>
      <c r="B168">
        <v>1</v>
      </c>
      <c r="C168">
        <v>5016.8999999999996</v>
      </c>
      <c r="D168">
        <v>6639.1180000000004</v>
      </c>
      <c r="E168">
        <v>4490.6000000000004</v>
      </c>
      <c r="F168">
        <v>225.3</v>
      </c>
      <c r="G168">
        <v>121.7</v>
      </c>
    </row>
    <row r="169" spans="1:7">
      <c r="A169">
        <v>1988</v>
      </c>
      <c r="B169">
        <v>2</v>
      </c>
      <c r="C169">
        <v>5061.3</v>
      </c>
      <c r="D169">
        <v>6723.5439999999999</v>
      </c>
      <c r="E169">
        <v>4522.7</v>
      </c>
      <c r="F169">
        <v>243.4</v>
      </c>
      <c r="G169">
        <v>126.4</v>
      </c>
    </row>
    <row r="170" spans="1:7">
      <c r="A170">
        <v>1988</v>
      </c>
      <c r="B170">
        <v>3</v>
      </c>
      <c r="C170">
        <v>5103.3</v>
      </c>
      <c r="D170">
        <v>6759.3760000000002</v>
      </c>
      <c r="E170">
        <v>4560.5</v>
      </c>
      <c r="F170">
        <v>248.9</v>
      </c>
      <c r="G170">
        <v>132.80000000000001</v>
      </c>
    </row>
    <row r="171" spans="1:7">
      <c r="A171">
        <v>1988</v>
      </c>
      <c r="B171">
        <v>4</v>
      </c>
      <c r="C171">
        <v>5149.2</v>
      </c>
      <c r="D171">
        <v>6848.6120000000001</v>
      </c>
      <c r="E171">
        <v>4614</v>
      </c>
      <c r="F171">
        <v>260.2</v>
      </c>
      <c r="G171">
        <v>138.69999999999999</v>
      </c>
    </row>
    <row r="172" spans="1:7">
      <c r="A172">
        <v>1989</v>
      </c>
      <c r="B172">
        <v>1</v>
      </c>
      <c r="C172">
        <v>5216.3</v>
      </c>
      <c r="D172">
        <v>6918.116</v>
      </c>
      <c r="E172">
        <v>4631.2</v>
      </c>
      <c r="F172">
        <v>251.4</v>
      </c>
      <c r="G172">
        <v>148</v>
      </c>
    </row>
    <row r="173" spans="1:7">
      <c r="A173">
        <v>1989</v>
      </c>
      <c r="B173">
        <v>2</v>
      </c>
      <c r="C173">
        <v>5199.1000000000004</v>
      </c>
      <c r="D173">
        <v>6963.4709999999995</v>
      </c>
      <c r="E173">
        <v>4653</v>
      </c>
      <c r="F173">
        <v>238</v>
      </c>
      <c r="G173">
        <v>155.69999999999999</v>
      </c>
    </row>
    <row r="174" spans="1:7">
      <c r="A174">
        <v>1989</v>
      </c>
      <c r="B174">
        <v>3</v>
      </c>
      <c r="C174">
        <v>5224.8999999999996</v>
      </c>
      <c r="D174">
        <v>7013.1440000000002</v>
      </c>
      <c r="E174">
        <v>4697.3</v>
      </c>
      <c r="F174">
        <v>225.8</v>
      </c>
      <c r="G174">
        <v>161.1</v>
      </c>
    </row>
    <row r="175" spans="1:7">
      <c r="A175">
        <v>1989</v>
      </c>
      <c r="B175">
        <v>4</v>
      </c>
      <c r="C175">
        <v>5259.9</v>
      </c>
      <c r="D175">
        <v>7030.9129999999996</v>
      </c>
      <c r="E175">
        <v>4718.8</v>
      </c>
      <c r="F175">
        <v>235.6</v>
      </c>
      <c r="G175">
        <v>167.1</v>
      </c>
    </row>
    <row r="176" spans="1:7">
      <c r="A176">
        <v>1990</v>
      </c>
      <c r="B176">
        <v>1</v>
      </c>
      <c r="C176">
        <v>5307.9</v>
      </c>
      <c r="D176">
        <v>7112.1</v>
      </c>
      <c r="E176">
        <v>4757.1000000000004</v>
      </c>
      <c r="F176">
        <v>253.8</v>
      </c>
      <c r="G176">
        <v>170.1</v>
      </c>
    </row>
    <row r="177" spans="1:7">
      <c r="A177">
        <v>1990</v>
      </c>
      <c r="B177">
        <v>2</v>
      </c>
      <c r="C177">
        <v>5338.7</v>
      </c>
      <c r="D177">
        <v>7130.2610000000004</v>
      </c>
      <c r="E177">
        <v>4773</v>
      </c>
      <c r="F177">
        <v>265.2</v>
      </c>
      <c r="G177">
        <v>169.9</v>
      </c>
    </row>
    <row r="178" spans="1:7">
      <c r="A178">
        <v>1990</v>
      </c>
      <c r="B178">
        <v>3</v>
      </c>
      <c r="C178">
        <v>5343.6</v>
      </c>
      <c r="D178">
        <v>7130.7520000000004</v>
      </c>
      <c r="E178">
        <v>4792.6000000000004</v>
      </c>
      <c r="F178">
        <v>267.39999999999998</v>
      </c>
      <c r="G178">
        <v>170</v>
      </c>
    </row>
    <row r="179" spans="1:7">
      <c r="A179">
        <v>1990</v>
      </c>
      <c r="B179">
        <v>4</v>
      </c>
      <c r="C179">
        <v>5306.6</v>
      </c>
      <c r="D179">
        <v>7076.857</v>
      </c>
      <c r="E179">
        <v>4758.3</v>
      </c>
      <c r="F179">
        <v>269.89999999999998</v>
      </c>
      <c r="G179">
        <v>166.3</v>
      </c>
    </row>
    <row r="180" spans="1:7">
      <c r="A180">
        <v>1991</v>
      </c>
      <c r="B180">
        <v>1</v>
      </c>
      <c r="C180">
        <v>5310.5</v>
      </c>
      <c r="D180">
        <v>7040.8280000000004</v>
      </c>
      <c r="E180">
        <v>4738.1000000000004</v>
      </c>
      <c r="F180">
        <v>283.8</v>
      </c>
      <c r="G180">
        <v>175.5</v>
      </c>
    </row>
    <row r="181" spans="1:7">
      <c r="A181">
        <v>1991</v>
      </c>
      <c r="B181">
        <v>2</v>
      </c>
      <c r="C181">
        <v>5347.1</v>
      </c>
      <c r="D181">
        <v>7086.4769999999999</v>
      </c>
      <c r="E181">
        <v>4779.3999999999996</v>
      </c>
      <c r="F181">
        <v>280</v>
      </c>
      <c r="G181">
        <v>180.5</v>
      </c>
    </row>
    <row r="182" spans="1:7">
      <c r="A182">
        <v>1991</v>
      </c>
      <c r="B182">
        <v>3</v>
      </c>
      <c r="C182">
        <v>5359.6</v>
      </c>
      <c r="D182">
        <v>7120.7380000000003</v>
      </c>
      <c r="E182">
        <v>4800.1000000000004</v>
      </c>
      <c r="F182">
        <v>283.3</v>
      </c>
      <c r="G182">
        <v>183.3</v>
      </c>
    </row>
    <row r="183" spans="1:7">
      <c r="A183">
        <v>1991</v>
      </c>
      <c r="B183">
        <v>4</v>
      </c>
      <c r="C183">
        <v>5389.4</v>
      </c>
      <c r="D183">
        <v>7154.116</v>
      </c>
      <c r="E183">
        <v>4795.8999999999996</v>
      </c>
      <c r="F183">
        <v>290.5</v>
      </c>
      <c r="G183">
        <v>183.4</v>
      </c>
    </row>
    <row r="184" spans="1:7">
      <c r="A184">
        <v>1992</v>
      </c>
      <c r="B184">
        <v>1</v>
      </c>
      <c r="C184">
        <v>5473.9</v>
      </c>
      <c r="D184">
        <v>7228.2340000000004</v>
      </c>
      <c r="E184">
        <v>4875</v>
      </c>
      <c r="F184">
        <v>317.39999999999998</v>
      </c>
      <c r="G184">
        <v>181.2</v>
      </c>
    </row>
    <row r="185" spans="1:7">
      <c r="A185">
        <v>1992</v>
      </c>
      <c r="B185">
        <v>2</v>
      </c>
      <c r="C185">
        <v>5514.6</v>
      </c>
      <c r="D185">
        <v>7297.9350000000004</v>
      </c>
      <c r="E185">
        <v>4903</v>
      </c>
      <c r="F185">
        <v>325.7</v>
      </c>
      <c r="G185">
        <v>182.2</v>
      </c>
    </row>
    <row r="186" spans="1:7">
      <c r="A186">
        <v>1992</v>
      </c>
      <c r="B186">
        <v>3</v>
      </c>
      <c r="C186">
        <v>5537.4</v>
      </c>
      <c r="D186">
        <v>7369.5</v>
      </c>
      <c r="E186">
        <v>4951.8</v>
      </c>
      <c r="F186">
        <v>285.60000000000002</v>
      </c>
      <c r="G186">
        <v>189.2</v>
      </c>
    </row>
    <row r="187" spans="1:7">
      <c r="A187">
        <v>1992</v>
      </c>
      <c r="B187">
        <v>4</v>
      </c>
      <c r="C187">
        <v>5619.2</v>
      </c>
      <c r="D187">
        <v>7450.6869999999999</v>
      </c>
      <c r="E187">
        <v>5009.3999999999996</v>
      </c>
      <c r="F187">
        <v>320.8</v>
      </c>
      <c r="G187">
        <v>199</v>
      </c>
    </row>
    <row r="188" spans="1:7">
      <c r="A188">
        <v>1993</v>
      </c>
      <c r="B188">
        <v>1</v>
      </c>
      <c r="C188">
        <v>5512.1</v>
      </c>
      <c r="D188">
        <v>7459.7179999999998</v>
      </c>
      <c r="E188">
        <v>5027.3</v>
      </c>
      <c r="F188">
        <v>328.8</v>
      </c>
      <c r="G188">
        <v>193.2</v>
      </c>
    </row>
    <row r="189" spans="1:7">
      <c r="A189">
        <v>1993</v>
      </c>
      <c r="B189">
        <v>2</v>
      </c>
      <c r="C189">
        <v>5590.2</v>
      </c>
      <c r="D189">
        <v>7497.5140000000001</v>
      </c>
      <c r="E189">
        <v>5071.8999999999996</v>
      </c>
      <c r="F189">
        <v>342.9</v>
      </c>
      <c r="G189">
        <v>198.2</v>
      </c>
    </row>
    <row r="190" spans="1:7">
      <c r="A190">
        <v>1993</v>
      </c>
      <c r="B190">
        <v>3</v>
      </c>
      <c r="C190">
        <v>5597.4</v>
      </c>
      <c r="D190">
        <v>7535.9960000000001</v>
      </c>
      <c r="E190">
        <v>5127.3</v>
      </c>
      <c r="F190">
        <v>343.5</v>
      </c>
      <c r="G190">
        <v>205.7</v>
      </c>
    </row>
    <row r="191" spans="1:7">
      <c r="A191">
        <v>1993</v>
      </c>
      <c r="B191">
        <v>4</v>
      </c>
      <c r="C191">
        <v>5677.2</v>
      </c>
      <c r="D191">
        <v>7637.4059999999999</v>
      </c>
      <c r="E191">
        <v>5172.8999999999996</v>
      </c>
      <c r="F191">
        <v>369</v>
      </c>
      <c r="G191">
        <v>214.1</v>
      </c>
    </row>
    <row r="192" spans="1:7">
      <c r="A192">
        <v>1994</v>
      </c>
      <c r="B192">
        <v>1</v>
      </c>
      <c r="C192">
        <v>5629.9</v>
      </c>
      <c r="D192">
        <v>7715.058</v>
      </c>
      <c r="E192">
        <v>5230.3</v>
      </c>
      <c r="F192">
        <v>346.2</v>
      </c>
      <c r="G192">
        <v>219.2</v>
      </c>
    </row>
    <row r="193" spans="1:7">
      <c r="A193">
        <v>1994</v>
      </c>
      <c r="B193">
        <v>2</v>
      </c>
      <c r="C193">
        <v>5733.1</v>
      </c>
      <c r="D193">
        <v>7815.6819999999998</v>
      </c>
      <c r="E193">
        <v>5268</v>
      </c>
      <c r="F193">
        <v>376.9</v>
      </c>
      <c r="G193">
        <v>229.4</v>
      </c>
    </row>
    <row r="194" spans="1:7">
      <c r="A194">
        <v>1994</v>
      </c>
      <c r="B194">
        <v>3</v>
      </c>
      <c r="C194">
        <v>5770.8</v>
      </c>
      <c r="D194">
        <v>7859.4650000000001</v>
      </c>
      <c r="E194">
        <v>5305.7</v>
      </c>
      <c r="F194">
        <v>397.5</v>
      </c>
      <c r="G194">
        <v>240.6</v>
      </c>
    </row>
    <row r="195" spans="1:7">
      <c r="A195">
        <v>1994</v>
      </c>
      <c r="B195">
        <v>4</v>
      </c>
      <c r="C195">
        <v>5850.9</v>
      </c>
      <c r="D195">
        <v>7951.6469999999999</v>
      </c>
      <c r="E195">
        <v>5358.7</v>
      </c>
      <c r="F195">
        <v>412.6</v>
      </c>
      <c r="G195">
        <v>249.7</v>
      </c>
    </row>
    <row r="196" spans="1:7">
      <c r="A196">
        <v>1995</v>
      </c>
      <c r="B196">
        <v>1</v>
      </c>
      <c r="C196">
        <v>5886.4</v>
      </c>
      <c r="D196">
        <v>7973.7349999999997</v>
      </c>
      <c r="E196">
        <v>5367.2</v>
      </c>
      <c r="F196">
        <v>437.7</v>
      </c>
      <c r="G196">
        <v>248.7</v>
      </c>
    </row>
    <row r="197" spans="1:7">
      <c r="A197">
        <v>1995</v>
      </c>
      <c r="B197">
        <v>2</v>
      </c>
      <c r="C197">
        <v>5881.7</v>
      </c>
      <c r="D197">
        <v>7987.97</v>
      </c>
      <c r="E197">
        <v>5411.7</v>
      </c>
      <c r="F197">
        <v>455.4</v>
      </c>
      <c r="G197">
        <v>251.1</v>
      </c>
    </row>
    <row r="198" spans="1:7">
      <c r="A198">
        <v>1995</v>
      </c>
      <c r="B198">
        <v>3</v>
      </c>
      <c r="C198">
        <v>5912.1</v>
      </c>
      <c r="D198">
        <v>8053.0559999999996</v>
      </c>
      <c r="E198">
        <v>5458.8</v>
      </c>
      <c r="F198">
        <v>462.8</v>
      </c>
      <c r="G198">
        <v>252</v>
      </c>
    </row>
    <row r="199" spans="1:7">
      <c r="A199">
        <v>1995</v>
      </c>
      <c r="B199">
        <v>4</v>
      </c>
      <c r="C199">
        <v>5943.3</v>
      </c>
      <c r="D199">
        <v>8111.9579999999996</v>
      </c>
      <c r="E199">
        <v>5496.1</v>
      </c>
      <c r="F199">
        <v>466.5</v>
      </c>
      <c r="G199">
        <v>264.89999999999998</v>
      </c>
    </row>
    <row r="200" spans="1:7">
      <c r="A200">
        <v>1996</v>
      </c>
      <c r="B200">
        <v>1</v>
      </c>
      <c r="C200">
        <v>6010</v>
      </c>
      <c r="D200">
        <v>8169.1909999999998</v>
      </c>
      <c r="E200">
        <v>5544.6</v>
      </c>
      <c r="F200">
        <v>492.8</v>
      </c>
      <c r="G200">
        <v>286.10000000000002</v>
      </c>
    </row>
    <row r="201" spans="1:7">
      <c r="A201">
        <v>1996</v>
      </c>
      <c r="B201">
        <v>2</v>
      </c>
      <c r="C201">
        <v>6059.8</v>
      </c>
      <c r="D201">
        <v>8303.0939999999991</v>
      </c>
      <c r="E201">
        <v>5604.9</v>
      </c>
      <c r="F201">
        <v>499.9</v>
      </c>
      <c r="G201">
        <v>290.60000000000002</v>
      </c>
    </row>
    <row r="202" spans="1:7">
      <c r="A202">
        <v>1996</v>
      </c>
      <c r="B202">
        <v>3</v>
      </c>
      <c r="C202">
        <v>6111.3</v>
      </c>
      <c r="D202">
        <v>8372.6970000000001</v>
      </c>
      <c r="E202">
        <v>5640.7</v>
      </c>
      <c r="F202">
        <v>498.9</v>
      </c>
      <c r="G202">
        <v>302.60000000000002</v>
      </c>
    </row>
    <row r="203" spans="1:7">
      <c r="A203">
        <v>1996</v>
      </c>
      <c r="B203">
        <v>4</v>
      </c>
      <c r="C203">
        <v>6142.5</v>
      </c>
      <c r="D203">
        <v>8470.5720000000001</v>
      </c>
      <c r="E203">
        <v>5687.6</v>
      </c>
      <c r="F203">
        <v>513.79999999999995</v>
      </c>
      <c r="G203">
        <v>311</v>
      </c>
    </row>
    <row r="204" spans="1:7">
      <c r="A204">
        <v>1997</v>
      </c>
      <c r="B204">
        <v>1</v>
      </c>
      <c r="C204">
        <v>6201.3</v>
      </c>
      <c r="D204">
        <v>8536.0509999999995</v>
      </c>
      <c r="E204">
        <v>5749.1</v>
      </c>
      <c r="F204">
        <v>529.4</v>
      </c>
      <c r="G204">
        <v>320.5</v>
      </c>
    </row>
    <row r="205" spans="1:7">
      <c r="A205">
        <v>1997</v>
      </c>
      <c r="B205">
        <v>2</v>
      </c>
      <c r="C205">
        <v>6251.9</v>
      </c>
      <c r="D205">
        <v>8665.8310000000001</v>
      </c>
      <c r="E205">
        <v>5775.8</v>
      </c>
      <c r="F205">
        <v>548.20000000000005</v>
      </c>
      <c r="G205">
        <v>330.6</v>
      </c>
    </row>
    <row r="206" spans="1:7">
      <c r="A206">
        <v>1997</v>
      </c>
      <c r="B206">
        <v>3</v>
      </c>
      <c r="C206">
        <v>6323.3</v>
      </c>
      <c r="D206">
        <v>8773.7199999999993</v>
      </c>
      <c r="E206">
        <v>5870.7</v>
      </c>
      <c r="F206">
        <v>570.4</v>
      </c>
      <c r="G206">
        <v>339.7</v>
      </c>
    </row>
    <row r="207" spans="1:7">
      <c r="A207">
        <v>1997</v>
      </c>
      <c r="B207">
        <v>4</v>
      </c>
      <c r="C207">
        <v>6406.6</v>
      </c>
      <c r="D207">
        <v>8838.4140000000007</v>
      </c>
      <c r="E207">
        <v>5931.4</v>
      </c>
      <c r="F207">
        <v>560.4</v>
      </c>
      <c r="G207">
        <v>347.1</v>
      </c>
    </row>
    <row r="208" spans="1:7">
      <c r="A208">
        <v>1998</v>
      </c>
      <c r="B208">
        <v>1</v>
      </c>
      <c r="C208">
        <v>6543.4</v>
      </c>
      <c r="D208">
        <v>8936.1910000000007</v>
      </c>
      <c r="E208">
        <v>5996.8</v>
      </c>
      <c r="F208">
        <v>478.9</v>
      </c>
      <c r="G208">
        <v>350.1</v>
      </c>
    </row>
    <row r="209" spans="1:7">
      <c r="A209">
        <v>1998</v>
      </c>
      <c r="B209">
        <v>2</v>
      </c>
      <c r="C209">
        <v>6638.6</v>
      </c>
      <c r="D209">
        <v>8995.2890000000007</v>
      </c>
      <c r="E209">
        <v>6092.1</v>
      </c>
      <c r="F209">
        <v>471</v>
      </c>
      <c r="G209">
        <v>352.3</v>
      </c>
    </row>
    <row r="210" spans="1:7">
      <c r="A210">
        <v>1998</v>
      </c>
      <c r="B210">
        <v>3</v>
      </c>
      <c r="C210">
        <v>6710.9</v>
      </c>
      <c r="D210">
        <v>9098.8580000000002</v>
      </c>
      <c r="E210">
        <v>6165.7</v>
      </c>
      <c r="F210">
        <v>469.2</v>
      </c>
      <c r="G210">
        <v>351.9</v>
      </c>
    </row>
    <row r="211" spans="1:7">
      <c r="A211">
        <v>1998</v>
      </c>
      <c r="B211">
        <v>4</v>
      </c>
      <c r="C211">
        <v>6763</v>
      </c>
      <c r="D211">
        <v>9237.0810000000001</v>
      </c>
      <c r="E211">
        <v>6248.8</v>
      </c>
      <c r="F211">
        <v>460.8</v>
      </c>
      <c r="G211">
        <v>352.2</v>
      </c>
    </row>
    <row r="212" spans="1:7">
      <c r="A212">
        <v>1999</v>
      </c>
      <c r="B212">
        <v>1</v>
      </c>
      <c r="C212">
        <v>6812.9</v>
      </c>
      <c r="D212">
        <v>9315.518</v>
      </c>
      <c r="E212">
        <v>6311.3</v>
      </c>
      <c r="F212">
        <v>499.3</v>
      </c>
      <c r="G212">
        <v>339.9</v>
      </c>
    </row>
    <row r="213" spans="1:7">
      <c r="A213">
        <v>1999</v>
      </c>
      <c r="B213">
        <v>2</v>
      </c>
      <c r="C213">
        <v>6822.1</v>
      </c>
      <c r="D213">
        <v>9392.5810000000001</v>
      </c>
      <c r="E213">
        <v>6409.7</v>
      </c>
      <c r="F213">
        <v>510</v>
      </c>
      <c r="G213">
        <v>333.4</v>
      </c>
    </row>
    <row r="214" spans="1:7">
      <c r="A214">
        <v>1999</v>
      </c>
      <c r="B214">
        <v>3</v>
      </c>
      <c r="C214">
        <v>6856</v>
      </c>
      <c r="D214">
        <v>9502.2369999999992</v>
      </c>
      <c r="E214">
        <v>6476.7</v>
      </c>
      <c r="F214">
        <v>515.1</v>
      </c>
      <c r="G214">
        <v>334.2</v>
      </c>
    </row>
    <row r="215" spans="1:7">
      <c r="A215">
        <v>1999</v>
      </c>
      <c r="B215">
        <v>4</v>
      </c>
      <c r="C215">
        <v>6955.6</v>
      </c>
      <c r="D215">
        <v>9671.0889999999999</v>
      </c>
      <c r="E215">
        <v>6556.8</v>
      </c>
      <c r="F215">
        <v>544.5</v>
      </c>
      <c r="G215">
        <v>342</v>
      </c>
    </row>
    <row r="216" spans="1:7">
      <c r="A216">
        <v>2000</v>
      </c>
      <c r="B216">
        <v>1</v>
      </c>
      <c r="C216">
        <v>7109.7</v>
      </c>
      <c r="D216">
        <v>9695.6309999999994</v>
      </c>
      <c r="E216">
        <v>6661.3</v>
      </c>
      <c r="F216">
        <v>514.6</v>
      </c>
      <c r="G216">
        <v>360.3</v>
      </c>
    </row>
    <row r="217" spans="1:7">
      <c r="A217">
        <v>2000</v>
      </c>
      <c r="B217">
        <v>2</v>
      </c>
      <c r="C217">
        <v>7157.5</v>
      </c>
      <c r="D217">
        <v>9847.8919999999998</v>
      </c>
      <c r="E217">
        <v>6703.3</v>
      </c>
      <c r="F217">
        <v>512.20000000000005</v>
      </c>
      <c r="G217">
        <v>377.3</v>
      </c>
    </row>
    <row r="218" spans="1:7">
      <c r="A218">
        <v>2000</v>
      </c>
      <c r="B218">
        <v>3</v>
      </c>
      <c r="C218">
        <v>7249.3</v>
      </c>
      <c r="D218">
        <v>9836.6029999999992</v>
      </c>
      <c r="E218">
        <v>6768</v>
      </c>
      <c r="F218">
        <v>502.3</v>
      </c>
      <c r="G218">
        <v>386.6</v>
      </c>
    </row>
    <row r="219" spans="1:7">
      <c r="A219">
        <v>2000</v>
      </c>
      <c r="B219">
        <v>4</v>
      </c>
      <c r="C219">
        <v>7259.6</v>
      </c>
      <c r="D219">
        <v>9887.7489999999998</v>
      </c>
      <c r="E219">
        <v>6825</v>
      </c>
      <c r="F219">
        <v>503.7</v>
      </c>
      <c r="G219">
        <v>387.6</v>
      </c>
    </row>
    <row r="220" spans="1:7">
      <c r="A220">
        <v>2001</v>
      </c>
      <c r="B220">
        <v>1</v>
      </c>
      <c r="C220">
        <v>7283</v>
      </c>
      <c r="D220">
        <v>9875.5759999999991</v>
      </c>
      <c r="E220">
        <v>6853.1</v>
      </c>
      <c r="F220">
        <v>532.1</v>
      </c>
      <c r="G220">
        <v>379.2</v>
      </c>
    </row>
    <row r="221" spans="1:7">
      <c r="A221">
        <v>2001</v>
      </c>
      <c r="B221">
        <v>2</v>
      </c>
      <c r="C221">
        <v>7252.1</v>
      </c>
      <c r="D221">
        <v>9905.9110000000001</v>
      </c>
      <c r="E221">
        <v>6870.3</v>
      </c>
      <c r="F221">
        <v>537.1</v>
      </c>
      <c r="G221">
        <v>370.1</v>
      </c>
    </row>
    <row r="222" spans="1:7">
      <c r="A222">
        <v>2001</v>
      </c>
      <c r="B222">
        <v>3</v>
      </c>
      <c r="C222">
        <v>7452.2</v>
      </c>
      <c r="D222">
        <v>9871.06</v>
      </c>
      <c r="E222">
        <v>6900.5</v>
      </c>
      <c r="F222">
        <v>473.6</v>
      </c>
      <c r="G222">
        <v>366</v>
      </c>
    </row>
    <row r="223" spans="1:7">
      <c r="A223">
        <v>2001</v>
      </c>
      <c r="B223">
        <v>4</v>
      </c>
      <c r="C223">
        <v>7346</v>
      </c>
      <c r="D223">
        <v>9910.0339999999997</v>
      </c>
      <c r="E223">
        <v>7017.6</v>
      </c>
      <c r="F223">
        <v>472.4</v>
      </c>
      <c r="G223">
        <v>368.4</v>
      </c>
    </row>
    <row r="224" spans="1:7">
      <c r="A224">
        <v>2002</v>
      </c>
      <c r="B224">
        <v>1</v>
      </c>
      <c r="C224">
        <v>7549.9</v>
      </c>
      <c r="D224">
        <v>9977.2800000000007</v>
      </c>
      <c r="E224">
        <v>7042.2</v>
      </c>
      <c r="F224">
        <v>518.9</v>
      </c>
      <c r="G224">
        <v>382.5</v>
      </c>
    </row>
    <row r="225" spans="1:7">
      <c r="A225">
        <v>2002</v>
      </c>
      <c r="B225">
        <v>2</v>
      </c>
      <c r="C225">
        <v>7585.2</v>
      </c>
      <c r="D225">
        <v>10031.567999999999</v>
      </c>
      <c r="E225">
        <v>7083.5</v>
      </c>
      <c r="F225">
        <v>553.6</v>
      </c>
      <c r="G225">
        <v>396.1</v>
      </c>
    </row>
    <row r="226" spans="1:7">
      <c r="A226">
        <v>2002</v>
      </c>
      <c r="B226">
        <v>3</v>
      </c>
      <c r="C226">
        <v>7555.5</v>
      </c>
      <c r="D226">
        <v>10090.665999999999</v>
      </c>
      <c r="E226">
        <v>7123.2</v>
      </c>
      <c r="F226">
        <v>589.5</v>
      </c>
      <c r="G226">
        <v>406.1</v>
      </c>
    </row>
    <row r="227" spans="1:7">
      <c r="A227">
        <v>2002</v>
      </c>
      <c r="B227">
        <v>4</v>
      </c>
      <c r="C227">
        <v>7559.3</v>
      </c>
      <c r="D227">
        <v>10095.771000000001</v>
      </c>
      <c r="E227">
        <v>7148.2</v>
      </c>
      <c r="F227">
        <v>641.29999999999995</v>
      </c>
      <c r="G227">
        <v>412</v>
      </c>
    </row>
    <row r="228" spans="1:7">
      <c r="A228">
        <v>2003</v>
      </c>
      <c r="B228">
        <v>1</v>
      </c>
      <c r="C228">
        <v>7591.7</v>
      </c>
      <c r="D228">
        <v>10126.007</v>
      </c>
      <c r="E228">
        <v>7184.9</v>
      </c>
      <c r="F228">
        <v>625.29999999999995</v>
      </c>
      <c r="G228">
        <v>411.7</v>
      </c>
    </row>
    <row r="229" spans="1:7">
      <c r="A229">
        <v>2003</v>
      </c>
      <c r="B229">
        <v>2</v>
      </c>
      <c r="C229">
        <v>7685.7</v>
      </c>
      <c r="D229">
        <v>10212.691000000001</v>
      </c>
      <c r="E229">
        <v>7249.3</v>
      </c>
      <c r="F229">
        <v>622.20000000000005</v>
      </c>
      <c r="G229">
        <v>417.4</v>
      </c>
    </row>
    <row r="230" spans="1:7">
      <c r="A230">
        <v>2003</v>
      </c>
      <c r="B230">
        <v>3</v>
      </c>
      <c r="C230">
        <v>7804.8</v>
      </c>
      <c r="D230">
        <v>10398.723</v>
      </c>
      <c r="E230">
        <v>7352.9</v>
      </c>
      <c r="F230">
        <v>672.7</v>
      </c>
      <c r="G230">
        <v>427.1</v>
      </c>
    </row>
    <row r="231" spans="1:7">
      <c r="A231">
        <v>2003</v>
      </c>
      <c r="B231">
        <v>4</v>
      </c>
      <c r="C231">
        <v>7837.3</v>
      </c>
      <c r="D231">
        <v>10466.950999999999</v>
      </c>
      <c r="E231">
        <v>7394.3</v>
      </c>
      <c r="F231">
        <v>738.9</v>
      </c>
      <c r="G231">
        <v>442.8</v>
      </c>
    </row>
    <row r="232" spans="1:7">
      <c r="A232">
        <v>2004</v>
      </c>
      <c r="B232">
        <v>1</v>
      </c>
      <c r="C232">
        <v>7908.7</v>
      </c>
      <c r="D232">
        <v>10543.620999999999</v>
      </c>
      <c r="E232">
        <v>7475.1</v>
      </c>
      <c r="F232">
        <v>845.8</v>
      </c>
      <c r="G232">
        <v>473.9</v>
      </c>
    </row>
    <row r="233" spans="1:7">
      <c r="A233">
        <v>2004</v>
      </c>
      <c r="B233">
        <v>2</v>
      </c>
      <c r="C233">
        <v>7955.1</v>
      </c>
      <c r="D233">
        <v>10634.232</v>
      </c>
      <c r="E233">
        <v>7520.5</v>
      </c>
      <c r="F233">
        <v>892.5</v>
      </c>
      <c r="G233">
        <v>500.7</v>
      </c>
    </row>
    <row r="234" spans="1:7">
      <c r="A234">
        <v>2004</v>
      </c>
      <c r="B234">
        <v>3</v>
      </c>
      <c r="C234">
        <v>8012.2</v>
      </c>
      <c r="D234">
        <v>10728.671</v>
      </c>
      <c r="E234">
        <v>7585.5</v>
      </c>
      <c r="F234">
        <v>896.7</v>
      </c>
      <c r="G234">
        <v>528.5</v>
      </c>
    </row>
    <row r="235" spans="1:7">
      <c r="A235">
        <v>2004</v>
      </c>
      <c r="B235">
        <v>4</v>
      </c>
      <c r="C235">
        <v>8158.8</v>
      </c>
      <c r="D235">
        <v>10796.407999999999</v>
      </c>
      <c r="E235">
        <v>7664.3</v>
      </c>
      <c r="F235">
        <v>954.2</v>
      </c>
      <c r="G235">
        <v>654.79999999999995</v>
      </c>
    </row>
    <row r="236" spans="1:7">
      <c r="A236">
        <v>2005</v>
      </c>
      <c r="B236">
        <v>1</v>
      </c>
      <c r="C236">
        <v>8089.8</v>
      </c>
      <c r="D236">
        <v>10878.38</v>
      </c>
      <c r="E236">
        <v>7709.4</v>
      </c>
      <c r="F236">
        <v>1169.4000000000001</v>
      </c>
      <c r="G236">
        <v>566</v>
      </c>
    </row>
    <row r="237" spans="1:7">
      <c r="A237">
        <v>2005</v>
      </c>
      <c r="B237">
        <v>2</v>
      </c>
      <c r="C237">
        <v>8140.9</v>
      </c>
      <c r="D237">
        <v>10954.069</v>
      </c>
      <c r="E237">
        <v>7775.2</v>
      </c>
      <c r="F237">
        <v>1184.9000000000001</v>
      </c>
      <c r="G237">
        <v>588.1</v>
      </c>
    </row>
    <row r="238" spans="1:7">
      <c r="A238">
        <v>2005</v>
      </c>
      <c r="B238">
        <v>3</v>
      </c>
      <c r="C238">
        <v>8115.4</v>
      </c>
      <c r="D238">
        <v>11074.325999999999</v>
      </c>
      <c r="E238">
        <v>7852.8</v>
      </c>
      <c r="F238">
        <v>1155.2</v>
      </c>
      <c r="G238">
        <v>612.6</v>
      </c>
    </row>
    <row r="239" spans="1:7">
      <c r="A239">
        <v>2005</v>
      </c>
      <c r="B239">
        <v>4</v>
      </c>
      <c r="C239">
        <v>8246</v>
      </c>
      <c r="D239">
        <v>11107.213</v>
      </c>
      <c r="E239">
        <v>7876.9</v>
      </c>
      <c r="F239">
        <v>1237.3</v>
      </c>
      <c r="G239">
        <v>638.70000000000005</v>
      </c>
    </row>
    <row r="240" spans="1:7">
      <c r="A240">
        <v>2006</v>
      </c>
      <c r="B240">
        <v>1</v>
      </c>
      <c r="C240">
        <v>8344.2000000000007</v>
      </c>
      <c r="D240">
        <v>11238.662</v>
      </c>
      <c r="E240">
        <v>7961.9</v>
      </c>
      <c r="F240">
        <v>1307.3</v>
      </c>
      <c r="G240">
        <v>662.5</v>
      </c>
    </row>
    <row r="241" spans="1:7">
      <c r="A241">
        <v>2006</v>
      </c>
      <c r="B241">
        <v>2</v>
      </c>
      <c r="C241">
        <v>8348.6</v>
      </c>
      <c r="D241">
        <v>11306.694</v>
      </c>
      <c r="E241">
        <v>8009.3</v>
      </c>
      <c r="F241">
        <v>1382.4</v>
      </c>
      <c r="G241">
        <v>685.6</v>
      </c>
    </row>
    <row r="242" spans="1:7">
      <c r="A242">
        <v>2006</v>
      </c>
      <c r="B242">
        <v>3</v>
      </c>
      <c r="C242">
        <v>8384.5</v>
      </c>
      <c r="D242">
        <v>11336.734</v>
      </c>
      <c r="E242">
        <v>8063.8</v>
      </c>
      <c r="F242">
        <v>1381</v>
      </c>
      <c r="G242">
        <v>711.1</v>
      </c>
    </row>
    <row r="243" spans="1:7">
      <c r="A243">
        <v>2006</v>
      </c>
      <c r="B243">
        <v>4</v>
      </c>
      <c r="C243">
        <v>8510.7000000000007</v>
      </c>
      <c r="D243">
        <v>11395.538</v>
      </c>
      <c r="E243">
        <v>8141.2</v>
      </c>
      <c r="F243">
        <v>1336.8</v>
      </c>
      <c r="G243">
        <v>736.4</v>
      </c>
    </row>
    <row r="244" spans="1:7">
      <c r="A244">
        <v>2007</v>
      </c>
      <c r="B244">
        <v>1</v>
      </c>
      <c r="C244">
        <v>8623.9</v>
      </c>
      <c r="D244">
        <v>11412.619000000001</v>
      </c>
      <c r="E244">
        <v>8215.7000000000007</v>
      </c>
      <c r="F244">
        <v>1363.3</v>
      </c>
      <c r="G244">
        <v>759.4</v>
      </c>
    </row>
    <row r="245" spans="1:7">
      <c r="A245">
        <v>2007</v>
      </c>
      <c r="B245">
        <v>2</v>
      </c>
      <c r="C245">
        <v>8607.1</v>
      </c>
      <c r="D245">
        <v>11520.115</v>
      </c>
      <c r="E245">
        <v>8244.2999999999993</v>
      </c>
      <c r="F245">
        <v>1441.4</v>
      </c>
      <c r="G245">
        <v>784.2</v>
      </c>
    </row>
    <row r="246" spans="1:7">
      <c r="A246">
        <v>2007</v>
      </c>
      <c r="B246">
        <v>3</v>
      </c>
      <c r="C246">
        <v>8692.1</v>
      </c>
      <c r="D246">
        <v>11658.927</v>
      </c>
      <c r="E246">
        <v>8302.2000000000007</v>
      </c>
      <c r="F246">
        <v>1410.2</v>
      </c>
      <c r="G246">
        <v>807.7</v>
      </c>
    </row>
    <row r="247" spans="1:7">
      <c r="A247">
        <v>2007</v>
      </c>
      <c r="B247">
        <v>4</v>
      </c>
      <c r="C247">
        <v>8695.2000000000007</v>
      </c>
      <c r="D247">
        <v>11675.714</v>
      </c>
      <c r="E247">
        <v>8349.1</v>
      </c>
      <c r="F247">
        <v>1425.5</v>
      </c>
      <c r="G247">
        <v>829.4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DC620-2815-45F0-BEFD-71347E444787}">
  <dimension ref="A1:G40"/>
  <sheetViews>
    <sheetView workbookViewId="0">
      <selection activeCell="A5" sqref="A5:G40"/>
    </sheetView>
  </sheetViews>
  <sheetFormatPr defaultRowHeight="15"/>
  <sheetData>
    <row r="1" spans="1:7">
      <c r="A1" s="27" t="s">
        <v>117</v>
      </c>
      <c r="B1" s="26"/>
      <c r="C1" s="26"/>
      <c r="D1" s="26"/>
      <c r="E1" s="26"/>
      <c r="F1" s="26"/>
      <c r="G1" s="26"/>
    </row>
    <row r="3" spans="1:7">
      <c r="A3" s="26"/>
      <c r="B3" s="27" t="s">
        <v>118</v>
      </c>
      <c r="C3" s="26"/>
      <c r="D3" s="26"/>
      <c r="E3" s="26"/>
      <c r="F3" s="27" t="s">
        <v>119</v>
      </c>
      <c r="G3" s="26"/>
    </row>
    <row r="4" spans="1:7">
      <c r="A4" s="28" t="s">
        <v>63</v>
      </c>
      <c r="B4" s="28" t="s">
        <v>120</v>
      </c>
      <c r="C4" s="28" t="s">
        <v>121</v>
      </c>
      <c r="D4" s="29" t="s">
        <v>122</v>
      </c>
      <c r="E4" s="28" t="s">
        <v>120</v>
      </c>
      <c r="F4" s="28" t="s">
        <v>121</v>
      </c>
      <c r="G4" s="28" t="s">
        <v>122</v>
      </c>
    </row>
    <row r="5" spans="1:7">
      <c r="A5" s="24">
        <v>1972</v>
      </c>
      <c r="B5" s="24">
        <v>531</v>
      </c>
      <c r="C5" s="24">
        <v>529</v>
      </c>
      <c r="D5" s="30">
        <v>530</v>
      </c>
      <c r="E5" s="24">
        <v>527</v>
      </c>
      <c r="F5" s="24">
        <v>489</v>
      </c>
      <c r="G5" s="24">
        <v>509</v>
      </c>
    </row>
    <row r="6" spans="1:7">
      <c r="A6" s="24">
        <v>1973</v>
      </c>
      <c r="B6" s="24">
        <v>523</v>
      </c>
      <c r="C6" s="24">
        <v>521</v>
      </c>
      <c r="D6" s="30">
        <v>523</v>
      </c>
      <c r="E6" s="24">
        <v>525</v>
      </c>
      <c r="F6" s="24">
        <v>489</v>
      </c>
      <c r="G6" s="24">
        <v>506</v>
      </c>
    </row>
    <row r="7" spans="1:7">
      <c r="A7" s="24">
        <v>1974</v>
      </c>
      <c r="B7" s="24">
        <v>524</v>
      </c>
      <c r="C7" s="24">
        <v>520</v>
      </c>
      <c r="D7" s="30">
        <v>521</v>
      </c>
      <c r="E7" s="24">
        <v>524</v>
      </c>
      <c r="F7" s="24">
        <v>488</v>
      </c>
      <c r="G7" s="24">
        <v>505</v>
      </c>
    </row>
    <row r="8" spans="1:7">
      <c r="A8" s="24">
        <v>1975</v>
      </c>
      <c r="B8" s="24">
        <v>515</v>
      </c>
      <c r="C8" s="24">
        <v>509</v>
      </c>
      <c r="D8" s="30">
        <v>512</v>
      </c>
      <c r="E8" s="24">
        <v>518</v>
      </c>
      <c r="F8" s="24">
        <v>479</v>
      </c>
      <c r="G8" s="24">
        <v>498</v>
      </c>
    </row>
    <row r="9" spans="1:7">
      <c r="A9" s="24">
        <v>1976</v>
      </c>
      <c r="B9" s="24">
        <v>511</v>
      </c>
      <c r="C9" s="24">
        <v>508</v>
      </c>
      <c r="D9" s="30">
        <v>509</v>
      </c>
      <c r="E9" s="24">
        <v>520</v>
      </c>
      <c r="F9" s="24">
        <v>475</v>
      </c>
      <c r="G9" s="24">
        <v>497</v>
      </c>
    </row>
    <row r="10" spans="1:7">
      <c r="A10" s="24">
        <v>1977</v>
      </c>
      <c r="B10" s="24">
        <v>509</v>
      </c>
      <c r="C10" s="24">
        <v>505</v>
      </c>
      <c r="D10" s="30">
        <v>507</v>
      </c>
      <c r="E10" s="24">
        <v>520</v>
      </c>
      <c r="F10" s="24">
        <v>474</v>
      </c>
      <c r="G10" s="24">
        <v>496</v>
      </c>
    </row>
    <row r="11" spans="1:7">
      <c r="A11" s="24">
        <v>1978</v>
      </c>
      <c r="B11" s="24">
        <v>511</v>
      </c>
      <c r="C11" s="24">
        <v>503</v>
      </c>
      <c r="D11" s="30">
        <v>507</v>
      </c>
      <c r="E11" s="24">
        <v>517</v>
      </c>
      <c r="F11" s="24">
        <v>474</v>
      </c>
      <c r="G11" s="24">
        <v>494</v>
      </c>
    </row>
    <row r="12" spans="1:7">
      <c r="A12" s="24">
        <v>1979</v>
      </c>
      <c r="B12" s="24">
        <v>509</v>
      </c>
      <c r="C12" s="24">
        <v>501</v>
      </c>
      <c r="D12" s="30">
        <v>505</v>
      </c>
      <c r="E12" s="24">
        <v>516</v>
      </c>
      <c r="F12" s="24">
        <v>473</v>
      </c>
      <c r="G12" s="24">
        <v>493</v>
      </c>
    </row>
    <row r="13" spans="1:7">
      <c r="A13" s="24">
        <v>1980</v>
      </c>
      <c r="B13" s="24">
        <v>506</v>
      </c>
      <c r="C13" s="24">
        <v>498</v>
      </c>
      <c r="D13" s="30">
        <v>502</v>
      </c>
      <c r="E13" s="24">
        <v>515</v>
      </c>
      <c r="F13" s="24">
        <v>473</v>
      </c>
      <c r="G13" s="24">
        <v>492</v>
      </c>
    </row>
    <row r="14" spans="1:7">
      <c r="A14" s="24">
        <v>1981</v>
      </c>
      <c r="B14" s="24">
        <v>508</v>
      </c>
      <c r="C14" s="24">
        <v>496</v>
      </c>
      <c r="D14" s="30">
        <v>502</v>
      </c>
      <c r="E14" s="24">
        <v>516</v>
      </c>
      <c r="F14" s="24">
        <v>473</v>
      </c>
      <c r="G14" s="24">
        <v>492</v>
      </c>
    </row>
    <row r="15" spans="1:7">
      <c r="A15" s="24">
        <v>1982</v>
      </c>
      <c r="B15" s="24">
        <v>509</v>
      </c>
      <c r="C15" s="24">
        <v>499</v>
      </c>
      <c r="D15" s="30">
        <v>504</v>
      </c>
      <c r="E15" s="24">
        <v>516</v>
      </c>
      <c r="F15" s="24">
        <v>473</v>
      </c>
      <c r="G15" s="24">
        <v>493</v>
      </c>
    </row>
    <row r="16" spans="1:7">
      <c r="A16" s="24">
        <v>1983</v>
      </c>
      <c r="B16" s="24">
        <v>508</v>
      </c>
      <c r="C16" s="24">
        <v>498</v>
      </c>
      <c r="D16" s="30">
        <v>503</v>
      </c>
      <c r="E16" s="24">
        <v>516</v>
      </c>
      <c r="F16" s="24">
        <v>474</v>
      </c>
      <c r="G16" s="24">
        <v>494</v>
      </c>
    </row>
    <row r="17" spans="1:7">
      <c r="A17" s="24">
        <v>1984</v>
      </c>
      <c r="B17" s="24">
        <v>511</v>
      </c>
      <c r="C17" s="24">
        <v>498</v>
      </c>
      <c r="D17" s="30">
        <v>504</v>
      </c>
      <c r="E17" s="24">
        <v>518</v>
      </c>
      <c r="F17" s="24">
        <v>478</v>
      </c>
      <c r="G17" s="24">
        <v>497</v>
      </c>
    </row>
    <row r="18" spans="1:7">
      <c r="A18" s="24">
        <v>1985</v>
      </c>
      <c r="B18" s="24">
        <v>514</v>
      </c>
      <c r="C18" s="24">
        <v>503</v>
      </c>
      <c r="D18" s="30">
        <v>509</v>
      </c>
      <c r="E18" s="24">
        <v>522</v>
      </c>
      <c r="F18" s="24">
        <v>480</v>
      </c>
      <c r="G18" s="24">
        <v>500</v>
      </c>
    </row>
    <row r="19" spans="1:7">
      <c r="A19" s="24">
        <v>1986</v>
      </c>
      <c r="B19" s="24">
        <v>515</v>
      </c>
      <c r="C19" s="24">
        <v>504</v>
      </c>
      <c r="D19" s="30">
        <v>509</v>
      </c>
      <c r="E19" s="24">
        <v>523</v>
      </c>
      <c r="F19" s="24">
        <v>479</v>
      </c>
      <c r="G19" s="24">
        <v>500</v>
      </c>
    </row>
    <row r="20" spans="1:7">
      <c r="A20" s="24">
        <v>1987</v>
      </c>
      <c r="B20" s="24">
        <v>512</v>
      </c>
      <c r="C20" s="24">
        <v>502</v>
      </c>
      <c r="D20" s="30">
        <v>507</v>
      </c>
      <c r="E20" s="24">
        <v>523</v>
      </c>
      <c r="F20" s="24">
        <v>481</v>
      </c>
      <c r="G20" s="24">
        <v>501</v>
      </c>
    </row>
    <row r="21" spans="1:7">
      <c r="A21" s="24">
        <v>1988</v>
      </c>
      <c r="B21" s="24">
        <v>512</v>
      </c>
      <c r="C21" s="24">
        <v>499</v>
      </c>
      <c r="D21" s="30">
        <v>505</v>
      </c>
      <c r="E21" s="24">
        <v>521</v>
      </c>
      <c r="F21" s="24">
        <v>483</v>
      </c>
      <c r="G21" s="24">
        <v>501</v>
      </c>
    </row>
    <row r="22" spans="1:7">
      <c r="A22" s="24">
        <v>1989</v>
      </c>
      <c r="B22" s="24">
        <v>510</v>
      </c>
      <c r="C22" s="24">
        <v>498</v>
      </c>
      <c r="D22" s="30">
        <v>504</v>
      </c>
      <c r="E22" s="24">
        <v>523</v>
      </c>
      <c r="F22" s="24">
        <v>482</v>
      </c>
      <c r="G22" s="24">
        <v>502</v>
      </c>
    </row>
    <row r="23" spans="1:7">
      <c r="A23" s="24">
        <v>1990</v>
      </c>
      <c r="B23" s="24">
        <v>505</v>
      </c>
      <c r="C23" s="24">
        <v>496</v>
      </c>
      <c r="D23" s="30">
        <v>500</v>
      </c>
      <c r="E23" s="24">
        <v>521</v>
      </c>
      <c r="F23" s="24">
        <v>483</v>
      </c>
      <c r="G23" s="24">
        <v>501</v>
      </c>
    </row>
    <row r="24" spans="1:7">
      <c r="A24" s="24">
        <v>1991</v>
      </c>
      <c r="B24" s="24">
        <v>503</v>
      </c>
      <c r="C24" s="24">
        <v>495</v>
      </c>
      <c r="D24" s="30">
        <v>499</v>
      </c>
      <c r="E24" s="24">
        <v>520</v>
      </c>
      <c r="F24" s="24">
        <v>482</v>
      </c>
      <c r="G24" s="24">
        <v>500</v>
      </c>
    </row>
    <row r="25" spans="1:7">
      <c r="A25" s="24">
        <v>1992</v>
      </c>
      <c r="B25" s="24">
        <v>504</v>
      </c>
      <c r="C25" s="24">
        <v>496</v>
      </c>
      <c r="D25" s="30">
        <v>500</v>
      </c>
      <c r="E25" s="24">
        <v>521</v>
      </c>
      <c r="F25" s="24">
        <v>484</v>
      </c>
      <c r="G25" s="24">
        <v>501</v>
      </c>
    </row>
    <row r="26" spans="1:7">
      <c r="A26" s="24">
        <v>1993</v>
      </c>
      <c r="B26" s="24">
        <v>504</v>
      </c>
      <c r="C26" s="24">
        <v>497</v>
      </c>
      <c r="D26" s="30">
        <v>500</v>
      </c>
      <c r="E26" s="24">
        <v>524</v>
      </c>
      <c r="F26" s="24">
        <v>484</v>
      </c>
      <c r="G26" s="24">
        <v>503</v>
      </c>
    </row>
    <row r="27" spans="1:7">
      <c r="A27" s="24">
        <v>1994</v>
      </c>
      <c r="B27" s="24">
        <v>501</v>
      </c>
      <c r="C27" s="24">
        <v>497</v>
      </c>
      <c r="D27" s="30">
        <v>499</v>
      </c>
      <c r="E27" s="24">
        <v>523</v>
      </c>
      <c r="F27" s="24">
        <v>487</v>
      </c>
      <c r="G27" s="24">
        <v>504</v>
      </c>
    </row>
    <row r="28" spans="1:7">
      <c r="A28" s="24">
        <v>1995</v>
      </c>
      <c r="B28" s="24">
        <v>505</v>
      </c>
      <c r="C28" s="24">
        <v>502</v>
      </c>
      <c r="D28" s="30">
        <v>504</v>
      </c>
      <c r="E28" s="24">
        <v>525</v>
      </c>
      <c r="F28" s="24">
        <v>490</v>
      </c>
      <c r="G28" s="24">
        <v>506</v>
      </c>
    </row>
    <row r="29" spans="1:7">
      <c r="A29" s="24">
        <v>1996</v>
      </c>
      <c r="B29" s="24">
        <v>507</v>
      </c>
      <c r="C29" s="24">
        <v>503</v>
      </c>
      <c r="D29" s="30">
        <v>505</v>
      </c>
      <c r="E29" s="24">
        <v>527</v>
      </c>
      <c r="F29" s="24">
        <v>492</v>
      </c>
      <c r="G29" s="24">
        <v>508</v>
      </c>
    </row>
    <row r="30" spans="1:7">
      <c r="A30" s="24">
        <v>1997</v>
      </c>
      <c r="B30" s="24">
        <v>507</v>
      </c>
      <c r="C30" s="24">
        <v>503</v>
      </c>
      <c r="D30" s="30">
        <v>505</v>
      </c>
      <c r="E30" s="24">
        <v>530</v>
      </c>
      <c r="F30" s="24">
        <v>494</v>
      </c>
      <c r="G30" s="24">
        <v>511</v>
      </c>
    </row>
    <row r="31" spans="1:7">
      <c r="A31" s="24">
        <v>1998</v>
      </c>
      <c r="B31" s="24">
        <v>509</v>
      </c>
      <c r="C31" s="24">
        <v>502</v>
      </c>
      <c r="D31" s="30">
        <v>505</v>
      </c>
      <c r="E31" s="24">
        <v>531</v>
      </c>
      <c r="F31" s="24">
        <v>496</v>
      </c>
      <c r="G31" s="24">
        <v>512</v>
      </c>
    </row>
    <row r="32" spans="1:7">
      <c r="A32" s="24">
        <v>1999</v>
      </c>
      <c r="B32" s="24">
        <v>509</v>
      </c>
      <c r="C32" s="24">
        <v>502</v>
      </c>
      <c r="D32" s="30">
        <v>505</v>
      </c>
      <c r="E32" s="24">
        <v>531</v>
      </c>
      <c r="F32" s="24">
        <v>495</v>
      </c>
      <c r="G32" s="24">
        <v>511</v>
      </c>
    </row>
    <row r="33" spans="1:7">
      <c r="A33" s="24">
        <v>2000</v>
      </c>
      <c r="B33" s="24">
        <v>507</v>
      </c>
      <c r="C33" s="24">
        <v>504</v>
      </c>
      <c r="D33" s="30">
        <v>505</v>
      </c>
      <c r="E33" s="24">
        <v>533</v>
      </c>
      <c r="F33" s="24">
        <v>498</v>
      </c>
      <c r="G33" s="24">
        <v>514</v>
      </c>
    </row>
    <row r="34" spans="1:7">
      <c r="A34" s="24">
        <v>2001</v>
      </c>
      <c r="B34" s="24">
        <v>509</v>
      </c>
      <c r="C34" s="24">
        <v>502</v>
      </c>
      <c r="D34" s="30">
        <v>506</v>
      </c>
      <c r="E34" s="24">
        <v>533</v>
      </c>
      <c r="F34" s="24">
        <v>498</v>
      </c>
      <c r="G34" s="24">
        <v>514</v>
      </c>
    </row>
    <row r="35" spans="1:7">
      <c r="A35" s="24">
        <v>2002</v>
      </c>
      <c r="B35" s="24">
        <v>507</v>
      </c>
      <c r="C35" s="24">
        <v>502</v>
      </c>
      <c r="D35" s="30">
        <v>504</v>
      </c>
      <c r="E35" s="24">
        <v>534</v>
      </c>
      <c r="F35" s="24">
        <v>500</v>
      </c>
      <c r="G35" s="24">
        <v>516</v>
      </c>
    </row>
    <row r="36" spans="1:7">
      <c r="A36" s="24">
        <v>2003</v>
      </c>
      <c r="B36" s="24">
        <v>512</v>
      </c>
      <c r="C36" s="24">
        <v>503</v>
      </c>
      <c r="D36" s="30">
        <v>507</v>
      </c>
      <c r="E36" s="24">
        <v>537</v>
      </c>
      <c r="F36" s="24">
        <v>503</v>
      </c>
      <c r="G36" s="24">
        <v>519</v>
      </c>
    </row>
    <row r="37" spans="1:7">
      <c r="A37" s="24">
        <v>2004</v>
      </c>
      <c r="B37" s="24">
        <v>512</v>
      </c>
      <c r="C37" s="24">
        <v>504</v>
      </c>
      <c r="D37" s="30">
        <v>508</v>
      </c>
      <c r="E37" s="24">
        <v>537</v>
      </c>
      <c r="F37" s="24">
        <v>501</v>
      </c>
      <c r="G37" s="24">
        <v>518</v>
      </c>
    </row>
    <row r="38" spans="1:7">
      <c r="A38" s="24">
        <v>2005</v>
      </c>
      <c r="B38" s="24">
        <v>513</v>
      </c>
      <c r="C38" s="24">
        <v>505</v>
      </c>
      <c r="D38" s="30">
        <v>508</v>
      </c>
      <c r="E38" s="24">
        <v>538</v>
      </c>
      <c r="F38" s="24">
        <v>504</v>
      </c>
      <c r="G38" s="24">
        <v>520</v>
      </c>
    </row>
    <row r="39" spans="1:7">
      <c r="A39" s="24">
        <v>2006</v>
      </c>
      <c r="B39" s="24">
        <v>505</v>
      </c>
      <c r="C39" s="24">
        <v>502</v>
      </c>
      <c r="D39" s="30">
        <v>503</v>
      </c>
      <c r="E39" s="24">
        <v>536</v>
      </c>
      <c r="F39" s="24">
        <v>502</v>
      </c>
      <c r="G39" s="24">
        <v>518</v>
      </c>
    </row>
    <row r="40" spans="1:7">
      <c r="A40" s="24">
        <v>2007</v>
      </c>
      <c r="B40" s="24">
        <v>504</v>
      </c>
      <c r="C40" s="24">
        <v>502</v>
      </c>
      <c r="D40" s="30">
        <v>502</v>
      </c>
      <c r="E40" s="24">
        <v>533</v>
      </c>
      <c r="F40" s="24">
        <v>499</v>
      </c>
      <c r="G40" s="24">
        <v>515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8687-9B16-417C-B53A-1598C1775334}">
  <dimension ref="A1:C384"/>
  <sheetViews>
    <sheetView topLeftCell="A363" workbookViewId="0">
      <selection activeCell="C384" sqref="C384"/>
    </sheetView>
  </sheetViews>
  <sheetFormatPr defaultRowHeight="15"/>
  <sheetData>
    <row r="1" spans="1:3">
      <c r="A1" t="s">
        <v>1231</v>
      </c>
    </row>
    <row r="3" spans="1:3">
      <c r="A3" t="s">
        <v>1232</v>
      </c>
    </row>
    <row r="4" spans="1:3">
      <c r="A4" t="s">
        <v>1233</v>
      </c>
    </row>
    <row r="6" spans="1:3">
      <c r="A6" t="s">
        <v>1234</v>
      </c>
    </row>
    <row r="7" spans="1:3">
      <c r="A7" t="s">
        <v>1235</v>
      </c>
    </row>
    <row r="8" spans="1:3">
      <c r="A8" t="s">
        <v>1236</v>
      </c>
    </row>
    <row r="9" spans="1:3">
      <c r="A9" t="s">
        <v>1237</v>
      </c>
    </row>
    <row r="11" spans="1:3">
      <c r="A11" t="s">
        <v>661</v>
      </c>
      <c r="B11" t="s">
        <v>1238</v>
      </c>
      <c r="C11" t="s">
        <v>418</v>
      </c>
    </row>
    <row r="12" spans="1:3">
      <c r="A12">
        <v>1</v>
      </c>
      <c r="B12">
        <v>79</v>
      </c>
      <c r="C12">
        <v>3.4</v>
      </c>
    </row>
    <row r="13" spans="1:3">
      <c r="A13">
        <v>2</v>
      </c>
      <c r="B13">
        <v>79</v>
      </c>
      <c r="C13">
        <v>3.4</v>
      </c>
    </row>
    <row r="14" spans="1:3">
      <c r="A14">
        <v>3</v>
      </c>
      <c r="B14">
        <v>80</v>
      </c>
      <c r="C14">
        <v>3.4</v>
      </c>
    </row>
    <row r="15" spans="1:3">
      <c r="A15">
        <v>4</v>
      </c>
      <c r="B15">
        <v>80</v>
      </c>
      <c r="C15">
        <v>3.4</v>
      </c>
    </row>
    <row r="16" spans="1:3">
      <c r="A16">
        <v>5</v>
      </c>
      <c r="B16">
        <v>80</v>
      </c>
      <c r="C16">
        <v>3.4</v>
      </c>
    </row>
    <row r="17" spans="1:3">
      <c r="A17">
        <v>6</v>
      </c>
      <c r="B17">
        <v>78</v>
      </c>
      <c r="C17">
        <v>3.5</v>
      </c>
    </row>
    <row r="18" spans="1:3">
      <c r="A18">
        <v>7</v>
      </c>
      <c r="B18">
        <v>77</v>
      </c>
      <c r="C18">
        <v>3.5</v>
      </c>
    </row>
    <row r="19" spans="1:3">
      <c r="A19">
        <v>8</v>
      </c>
      <c r="B19">
        <v>76</v>
      </c>
      <c r="C19">
        <v>3.5</v>
      </c>
    </row>
    <row r="20" spans="1:3">
      <c r="A20">
        <v>9</v>
      </c>
      <c r="B20">
        <v>80</v>
      </c>
      <c r="C20">
        <v>3.7</v>
      </c>
    </row>
    <row r="21" spans="1:3">
      <c r="A21">
        <v>10</v>
      </c>
      <c r="B21">
        <v>79</v>
      </c>
      <c r="C21">
        <v>3.7</v>
      </c>
    </row>
    <row r="22" spans="1:3">
      <c r="A22">
        <v>11</v>
      </c>
      <c r="B22">
        <v>77</v>
      </c>
      <c r="C22">
        <v>3.5</v>
      </c>
    </row>
    <row r="23" spans="1:3">
      <c r="A23">
        <v>12</v>
      </c>
      <c r="B23">
        <v>75</v>
      </c>
      <c r="C23">
        <v>3.5</v>
      </c>
    </row>
    <row r="24" spans="1:3">
      <c r="A24">
        <v>13</v>
      </c>
      <c r="B24">
        <v>71</v>
      </c>
      <c r="C24">
        <v>3.9</v>
      </c>
    </row>
    <row r="25" spans="1:3">
      <c r="A25">
        <v>14</v>
      </c>
      <c r="B25">
        <v>71</v>
      </c>
      <c r="C25">
        <v>4.2</v>
      </c>
    </row>
    <row r="26" spans="1:3">
      <c r="A26">
        <v>15</v>
      </c>
      <c r="B26">
        <v>67</v>
      </c>
      <c r="C26">
        <v>4.4000000000000004</v>
      </c>
    </row>
    <row r="27" spans="1:3">
      <c r="A27">
        <v>16</v>
      </c>
      <c r="B27">
        <v>65</v>
      </c>
      <c r="C27">
        <v>4.5999999999999996</v>
      </c>
    </row>
    <row r="28" spans="1:3">
      <c r="A28">
        <v>17</v>
      </c>
      <c r="B28">
        <v>61</v>
      </c>
      <c r="C28">
        <v>4.8</v>
      </c>
    </row>
    <row r="29" spans="1:3">
      <c r="A29">
        <v>18</v>
      </c>
      <c r="B29">
        <v>60</v>
      </c>
      <c r="C29">
        <v>4.9000000000000004</v>
      </c>
    </row>
    <row r="30" spans="1:3">
      <c r="A30">
        <v>19</v>
      </c>
      <c r="B30">
        <v>58</v>
      </c>
      <c r="C30">
        <v>5</v>
      </c>
    </row>
    <row r="31" spans="1:3">
      <c r="A31">
        <v>20</v>
      </c>
      <c r="B31">
        <v>57</v>
      </c>
      <c r="C31">
        <v>5.0999999999999996</v>
      </c>
    </row>
    <row r="32" spans="1:3">
      <c r="A32">
        <v>21</v>
      </c>
      <c r="B32">
        <v>56</v>
      </c>
      <c r="C32">
        <v>5.4</v>
      </c>
    </row>
    <row r="33" spans="1:3">
      <c r="A33">
        <v>22</v>
      </c>
      <c r="B33">
        <v>53</v>
      </c>
      <c r="C33">
        <v>5.5</v>
      </c>
    </row>
    <row r="34" spans="1:3">
      <c r="A34">
        <v>23</v>
      </c>
      <c r="B34">
        <v>53</v>
      </c>
      <c r="C34">
        <v>5.9</v>
      </c>
    </row>
    <row r="35" spans="1:3">
      <c r="A35">
        <v>24</v>
      </c>
      <c r="B35">
        <v>53</v>
      </c>
      <c r="C35">
        <v>6.1</v>
      </c>
    </row>
    <row r="36" spans="1:3">
      <c r="A36">
        <v>25</v>
      </c>
      <c r="B36">
        <v>51</v>
      </c>
      <c r="C36">
        <v>5.9</v>
      </c>
    </row>
    <row r="37" spans="1:3">
      <c r="A37">
        <v>26</v>
      </c>
      <c r="B37">
        <v>52</v>
      </c>
      <c r="C37">
        <v>5.9</v>
      </c>
    </row>
    <row r="38" spans="1:3">
      <c r="A38">
        <v>27</v>
      </c>
      <c r="B38">
        <v>52</v>
      </c>
      <c r="C38">
        <v>6</v>
      </c>
    </row>
    <row r="39" spans="1:3">
      <c r="A39">
        <v>28</v>
      </c>
      <c r="B39">
        <v>52</v>
      </c>
      <c r="C39">
        <v>5.9</v>
      </c>
    </row>
    <row r="40" spans="1:3">
      <c r="A40">
        <v>29</v>
      </c>
      <c r="B40">
        <v>53</v>
      </c>
      <c r="C40">
        <v>5.9</v>
      </c>
    </row>
    <row r="41" spans="1:3">
      <c r="A41">
        <v>30</v>
      </c>
      <c r="B41">
        <v>55</v>
      </c>
      <c r="C41">
        <v>5.9</v>
      </c>
    </row>
    <row r="42" spans="1:3">
      <c r="A42">
        <v>31</v>
      </c>
      <c r="B42">
        <v>54</v>
      </c>
      <c r="C42">
        <v>6</v>
      </c>
    </row>
    <row r="43" spans="1:3">
      <c r="A43">
        <v>32</v>
      </c>
      <c r="B43">
        <v>55</v>
      </c>
      <c r="C43">
        <v>6.1</v>
      </c>
    </row>
    <row r="44" spans="1:3">
      <c r="A44">
        <v>33</v>
      </c>
      <c r="B44">
        <v>54</v>
      </c>
      <c r="C44">
        <v>6</v>
      </c>
    </row>
    <row r="45" spans="1:3">
      <c r="A45">
        <v>34</v>
      </c>
      <c r="B45">
        <v>55</v>
      </c>
      <c r="C45">
        <v>5.8</v>
      </c>
    </row>
    <row r="46" spans="1:3">
      <c r="A46">
        <v>35</v>
      </c>
      <c r="B46">
        <v>56</v>
      </c>
      <c r="C46">
        <v>6</v>
      </c>
    </row>
    <row r="47" spans="1:3">
      <c r="A47">
        <v>36</v>
      </c>
      <c r="B47">
        <v>56</v>
      </c>
      <c r="C47">
        <v>6</v>
      </c>
    </row>
    <row r="48" spans="1:3">
      <c r="A48">
        <v>37</v>
      </c>
      <c r="B48">
        <v>59</v>
      </c>
      <c r="C48">
        <v>5.8</v>
      </c>
    </row>
    <row r="49" spans="1:3">
      <c r="A49">
        <v>38</v>
      </c>
      <c r="B49">
        <v>60</v>
      </c>
      <c r="C49">
        <v>5.7</v>
      </c>
    </row>
    <row r="50" spans="1:3">
      <c r="A50">
        <v>39</v>
      </c>
      <c r="B50">
        <v>62</v>
      </c>
      <c r="C50">
        <v>5.8</v>
      </c>
    </row>
    <row r="51" spans="1:3">
      <c r="A51">
        <v>40</v>
      </c>
      <c r="B51">
        <v>62</v>
      </c>
      <c r="C51">
        <v>5.7</v>
      </c>
    </row>
    <row r="52" spans="1:3">
      <c r="A52">
        <v>41</v>
      </c>
      <c r="B52">
        <v>64</v>
      </c>
      <c r="C52">
        <v>5.7</v>
      </c>
    </row>
    <row r="53" spans="1:3">
      <c r="A53">
        <v>42</v>
      </c>
      <c r="B53">
        <v>64</v>
      </c>
      <c r="C53">
        <v>5.7</v>
      </c>
    </row>
    <row r="54" spans="1:3">
      <c r="A54">
        <v>43</v>
      </c>
      <c r="B54">
        <v>66</v>
      </c>
      <c r="C54">
        <v>5.6</v>
      </c>
    </row>
    <row r="55" spans="1:3">
      <c r="A55">
        <v>44</v>
      </c>
      <c r="B55">
        <v>68</v>
      </c>
      <c r="C55">
        <v>5.6</v>
      </c>
    </row>
    <row r="56" spans="1:3">
      <c r="A56">
        <v>45</v>
      </c>
      <c r="B56">
        <v>69</v>
      </c>
      <c r="C56">
        <v>5.5</v>
      </c>
    </row>
    <row r="57" spans="1:3">
      <c r="A57">
        <v>46</v>
      </c>
      <c r="B57">
        <v>72</v>
      </c>
      <c r="C57">
        <v>5.6</v>
      </c>
    </row>
    <row r="58" spans="1:3">
      <c r="A58">
        <v>47</v>
      </c>
      <c r="B58">
        <v>73</v>
      </c>
      <c r="C58">
        <v>5.3</v>
      </c>
    </row>
    <row r="59" spans="1:3">
      <c r="A59">
        <v>48</v>
      </c>
      <c r="B59">
        <v>80</v>
      </c>
      <c r="C59">
        <v>5.2</v>
      </c>
    </row>
    <row r="60" spans="1:3">
      <c r="A60">
        <v>49</v>
      </c>
      <c r="B60">
        <v>82</v>
      </c>
      <c r="C60">
        <v>4.9000000000000004</v>
      </c>
    </row>
    <row r="61" spans="1:3">
      <c r="A61">
        <v>50</v>
      </c>
      <c r="B61">
        <v>82</v>
      </c>
      <c r="C61">
        <v>5</v>
      </c>
    </row>
    <row r="62" spans="1:3">
      <c r="A62">
        <v>51</v>
      </c>
      <c r="B62">
        <v>82</v>
      </c>
      <c r="C62">
        <v>4.9000000000000004</v>
      </c>
    </row>
    <row r="63" spans="1:3">
      <c r="A63">
        <v>52</v>
      </c>
      <c r="B63">
        <v>81</v>
      </c>
      <c r="C63">
        <v>5</v>
      </c>
    </row>
    <row r="64" spans="1:3">
      <c r="A64">
        <v>53</v>
      </c>
      <c r="B64">
        <v>82</v>
      </c>
      <c r="C64">
        <v>4.9000000000000004</v>
      </c>
    </row>
    <row r="65" spans="1:3">
      <c r="A65">
        <v>54</v>
      </c>
      <c r="B65">
        <v>82</v>
      </c>
      <c r="C65">
        <v>4.9000000000000004</v>
      </c>
    </row>
    <row r="66" spans="1:3">
      <c r="A66">
        <v>55</v>
      </c>
      <c r="B66">
        <v>84</v>
      </c>
      <c r="C66">
        <v>4.8</v>
      </c>
    </row>
    <row r="67" spans="1:3">
      <c r="A67">
        <v>56</v>
      </c>
      <c r="B67">
        <v>82</v>
      </c>
      <c r="C67">
        <v>4.8</v>
      </c>
    </row>
    <row r="68" spans="1:3">
      <c r="A68">
        <v>57</v>
      </c>
      <c r="B68">
        <v>81</v>
      </c>
      <c r="C68">
        <v>4.8</v>
      </c>
    </row>
    <row r="69" spans="1:3">
      <c r="A69">
        <v>58</v>
      </c>
      <c r="B69">
        <v>82</v>
      </c>
      <c r="C69">
        <v>4.5999999999999996</v>
      </c>
    </row>
    <row r="70" spans="1:3">
      <c r="A70">
        <v>59</v>
      </c>
      <c r="B70">
        <v>82</v>
      </c>
      <c r="C70">
        <v>4.8</v>
      </c>
    </row>
    <row r="71" spans="1:3">
      <c r="A71">
        <v>60</v>
      </c>
      <c r="B71">
        <v>79</v>
      </c>
      <c r="C71">
        <v>4.9000000000000004</v>
      </c>
    </row>
    <row r="72" spans="1:3">
      <c r="A72">
        <v>61</v>
      </c>
      <c r="B72">
        <v>78</v>
      </c>
      <c r="C72">
        <v>5.0999999999999996</v>
      </c>
    </row>
    <row r="73" spans="1:3">
      <c r="A73">
        <v>62</v>
      </c>
      <c r="B73">
        <v>77</v>
      </c>
      <c r="C73">
        <v>5.2</v>
      </c>
    </row>
    <row r="74" spans="1:3">
      <c r="A74">
        <v>63</v>
      </c>
      <c r="B74">
        <v>77</v>
      </c>
      <c r="C74">
        <v>5.0999999999999996</v>
      </c>
    </row>
    <row r="75" spans="1:3">
      <c r="A75">
        <v>64</v>
      </c>
      <c r="B75">
        <v>79</v>
      </c>
      <c r="C75">
        <v>5.0999999999999996</v>
      </c>
    </row>
    <row r="76" spans="1:3">
      <c r="A76">
        <v>65</v>
      </c>
      <c r="B76">
        <v>78</v>
      </c>
      <c r="C76">
        <v>5.0999999999999996</v>
      </c>
    </row>
    <row r="77" spans="1:3">
      <c r="A77">
        <v>66</v>
      </c>
      <c r="B77">
        <v>76</v>
      </c>
      <c r="C77">
        <v>5.4</v>
      </c>
    </row>
    <row r="78" spans="1:3">
      <c r="A78">
        <v>67</v>
      </c>
      <c r="B78">
        <v>74</v>
      </c>
      <c r="C78">
        <v>5.5</v>
      </c>
    </row>
    <row r="79" spans="1:3">
      <c r="A79">
        <v>68</v>
      </c>
      <c r="B79">
        <v>72</v>
      </c>
      <c r="C79">
        <v>5.5</v>
      </c>
    </row>
    <row r="80" spans="1:3">
      <c r="A80">
        <v>69</v>
      </c>
      <c r="B80">
        <v>69</v>
      </c>
      <c r="C80">
        <v>5.9</v>
      </c>
    </row>
    <row r="81" spans="1:3">
      <c r="A81">
        <v>70</v>
      </c>
      <c r="B81">
        <v>64</v>
      </c>
      <c r="C81">
        <v>6</v>
      </c>
    </row>
    <row r="82" spans="1:3">
      <c r="A82">
        <v>71</v>
      </c>
      <c r="B82">
        <v>59</v>
      </c>
      <c r="C82">
        <v>6.6</v>
      </c>
    </row>
    <row r="83" spans="1:3">
      <c r="A83">
        <v>72</v>
      </c>
      <c r="B83">
        <v>54</v>
      </c>
      <c r="C83">
        <v>7.2</v>
      </c>
    </row>
    <row r="84" spans="1:3">
      <c r="A84">
        <v>73</v>
      </c>
      <c r="B84">
        <v>51</v>
      </c>
      <c r="C84">
        <v>8.1</v>
      </c>
    </row>
    <row r="85" spans="1:3">
      <c r="A85">
        <v>74</v>
      </c>
      <c r="B85">
        <v>50</v>
      </c>
      <c r="C85">
        <v>8.1</v>
      </c>
    </row>
    <row r="86" spans="1:3">
      <c r="A86">
        <v>75</v>
      </c>
      <c r="B86">
        <v>49</v>
      </c>
      <c r="C86">
        <v>8.6</v>
      </c>
    </row>
    <row r="87" spans="1:3">
      <c r="A87">
        <v>76</v>
      </c>
      <c r="B87">
        <v>49</v>
      </c>
      <c r="C87">
        <v>8.8000000000000007</v>
      </c>
    </row>
    <row r="88" spans="1:3">
      <c r="A88">
        <v>77</v>
      </c>
      <c r="B88">
        <v>49</v>
      </c>
      <c r="C88">
        <v>9</v>
      </c>
    </row>
    <row r="89" spans="1:3">
      <c r="A89">
        <v>78</v>
      </c>
      <c r="B89">
        <v>52</v>
      </c>
      <c r="C89">
        <v>8.8000000000000007</v>
      </c>
    </row>
    <row r="90" spans="1:3">
      <c r="A90">
        <v>79</v>
      </c>
      <c r="B90">
        <v>53</v>
      </c>
      <c r="C90">
        <v>8.6</v>
      </c>
    </row>
    <row r="91" spans="1:3">
      <c r="A91">
        <v>80</v>
      </c>
      <c r="B91">
        <v>52</v>
      </c>
      <c r="C91">
        <v>8.4</v>
      </c>
    </row>
    <row r="92" spans="1:3">
      <c r="A92">
        <v>81</v>
      </c>
      <c r="B92">
        <v>54</v>
      </c>
      <c r="C92">
        <v>8.4</v>
      </c>
    </row>
    <row r="93" spans="1:3">
      <c r="A93">
        <v>82</v>
      </c>
      <c r="B93">
        <v>54</v>
      </c>
      <c r="C93">
        <v>8.4</v>
      </c>
    </row>
    <row r="94" spans="1:3">
      <c r="A94">
        <v>83</v>
      </c>
      <c r="B94">
        <v>56</v>
      </c>
      <c r="C94">
        <v>8.3000000000000007</v>
      </c>
    </row>
    <row r="95" spans="1:3">
      <c r="A95">
        <v>84</v>
      </c>
      <c r="B95">
        <v>56</v>
      </c>
      <c r="C95">
        <v>8.1999999999999993</v>
      </c>
    </row>
    <row r="96" spans="1:3">
      <c r="A96">
        <v>85</v>
      </c>
      <c r="B96">
        <v>57</v>
      </c>
      <c r="C96">
        <v>7.9</v>
      </c>
    </row>
    <row r="97" spans="1:3">
      <c r="A97">
        <v>86</v>
      </c>
      <c r="B97">
        <v>60</v>
      </c>
      <c r="C97">
        <v>7.7</v>
      </c>
    </row>
    <row r="98" spans="1:3">
      <c r="A98">
        <v>87</v>
      </c>
      <c r="B98">
        <v>61</v>
      </c>
      <c r="C98">
        <v>7.6</v>
      </c>
    </row>
    <row r="99" spans="1:3">
      <c r="A99">
        <v>88</v>
      </c>
      <c r="B99">
        <v>60</v>
      </c>
      <c r="C99">
        <v>7.7</v>
      </c>
    </row>
    <row r="100" spans="1:3">
      <c r="A100">
        <v>89</v>
      </c>
      <c r="B100">
        <v>62</v>
      </c>
      <c r="C100">
        <v>7.4</v>
      </c>
    </row>
    <row r="101" spans="1:3">
      <c r="A101">
        <v>90</v>
      </c>
      <c r="B101">
        <v>62</v>
      </c>
      <c r="C101">
        <v>7.6</v>
      </c>
    </row>
    <row r="102" spans="1:3">
      <c r="A102">
        <v>91</v>
      </c>
      <c r="B102">
        <v>62</v>
      </c>
      <c r="C102">
        <v>7.8</v>
      </c>
    </row>
    <row r="103" spans="1:3">
      <c r="A103">
        <v>92</v>
      </c>
      <c r="B103">
        <v>62</v>
      </c>
      <c r="C103">
        <v>7.8</v>
      </c>
    </row>
    <row r="104" spans="1:3">
      <c r="A104">
        <v>93</v>
      </c>
      <c r="B104">
        <v>61</v>
      </c>
      <c r="C104">
        <v>7.6</v>
      </c>
    </row>
    <row r="105" spans="1:3">
      <c r="A105">
        <v>94</v>
      </c>
      <c r="B105">
        <v>62</v>
      </c>
      <c r="C105">
        <v>7.7</v>
      </c>
    </row>
    <row r="106" spans="1:3">
      <c r="A106">
        <v>95</v>
      </c>
      <c r="B106">
        <v>64</v>
      </c>
      <c r="C106">
        <v>7.8</v>
      </c>
    </row>
    <row r="107" spans="1:3">
      <c r="A107">
        <v>96</v>
      </c>
      <c r="B107">
        <v>66</v>
      </c>
      <c r="C107">
        <v>7.8</v>
      </c>
    </row>
    <row r="108" spans="1:3">
      <c r="A108">
        <v>97</v>
      </c>
      <c r="B108">
        <v>68</v>
      </c>
      <c r="C108">
        <v>7.5</v>
      </c>
    </row>
    <row r="109" spans="1:3">
      <c r="A109">
        <v>98</v>
      </c>
      <c r="B109">
        <v>68</v>
      </c>
      <c r="C109">
        <v>7.6</v>
      </c>
    </row>
    <row r="110" spans="1:3">
      <c r="A110">
        <v>99</v>
      </c>
      <c r="B110">
        <v>70</v>
      </c>
      <c r="C110">
        <v>7.4</v>
      </c>
    </row>
    <row r="111" spans="1:3">
      <c r="A111">
        <v>100</v>
      </c>
      <c r="B111">
        <v>72</v>
      </c>
      <c r="C111">
        <v>7.2</v>
      </c>
    </row>
    <row r="112" spans="1:3">
      <c r="A112">
        <v>101</v>
      </c>
      <c r="B112">
        <v>74</v>
      </c>
      <c r="C112">
        <v>7</v>
      </c>
    </row>
    <row r="113" spans="1:3">
      <c r="A113">
        <v>102</v>
      </c>
      <c r="B113">
        <v>75</v>
      </c>
      <c r="C113">
        <v>7.2</v>
      </c>
    </row>
    <row r="114" spans="1:3">
      <c r="A114">
        <v>103</v>
      </c>
      <c r="B114">
        <v>77</v>
      </c>
      <c r="C114">
        <v>6.9</v>
      </c>
    </row>
    <row r="115" spans="1:3">
      <c r="A115">
        <v>104</v>
      </c>
      <c r="B115">
        <v>79</v>
      </c>
      <c r="C115">
        <v>7</v>
      </c>
    </row>
    <row r="116" spans="1:3">
      <c r="A116">
        <v>105</v>
      </c>
      <c r="B116">
        <v>78</v>
      </c>
      <c r="C116">
        <v>6.8</v>
      </c>
    </row>
    <row r="117" spans="1:3">
      <c r="A117">
        <v>106</v>
      </c>
      <c r="B117">
        <v>82</v>
      </c>
      <c r="C117">
        <v>6.8</v>
      </c>
    </row>
    <row r="118" spans="1:3">
      <c r="A118">
        <v>107</v>
      </c>
      <c r="B118">
        <v>85</v>
      </c>
      <c r="C118">
        <v>6.8</v>
      </c>
    </row>
    <row r="119" spans="1:3">
      <c r="A119">
        <v>108</v>
      </c>
      <c r="B119">
        <v>88</v>
      </c>
      <c r="C119">
        <v>6.4</v>
      </c>
    </row>
    <row r="120" spans="1:3">
      <c r="A120">
        <v>109</v>
      </c>
      <c r="B120">
        <v>88</v>
      </c>
      <c r="C120">
        <v>6.4</v>
      </c>
    </row>
    <row r="121" spans="1:3">
      <c r="A121">
        <v>110</v>
      </c>
      <c r="B121">
        <v>89</v>
      </c>
      <c r="C121">
        <v>6.3</v>
      </c>
    </row>
    <row r="122" spans="1:3">
      <c r="A122">
        <v>111</v>
      </c>
      <c r="B122">
        <v>91</v>
      </c>
      <c r="C122">
        <v>6.3</v>
      </c>
    </row>
    <row r="123" spans="1:3">
      <c r="A123">
        <v>112</v>
      </c>
      <c r="B123">
        <v>97</v>
      </c>
      <c r="C123">
        <v>6.1</v>
      </c>
    </row>
    <row r="124" spans="1:3">
      <c r="A124">
        <v>113</v>
      </c>
      <c r="B124">
        <v>96</v>
      </c>
      <c r="C124">
        <v>6</v>
      </c>
    </row>
    <row r="125" spans="1:3">
      <c r="A125">
        <v>114</v>
      </c>
      <c r="B125">
        <v>97</v>
      </c>
      <c r="C125">
        <v>5.9</v>
      </c>
    </row>
    <row r="126" spans="1:3">
      <c r="A126">
        <v>115</v>
      </c>
      <c r="B126">
        <v>96</v>
      </c>
      <c r="C126">
        <v>6.2</v>
      </c>
    </row>
    <row r="127" spans="1:3">
      <c r="A127">
        <v>116</v>
      </c>
      <c r="B127">
        <v>98</v>
      </c>
      <c r="C127">
        <v>5.9</v>
      </c>
    </row>
    <row r="128" spans="1:3">
      <c r="A128">
        <v>117</v>
      </c>
      <c r="B128">
        <v>99</v>
      </c>
      <c r="C128">
        <v>6</v>
      </c>
    </row>
    <row r="129" spans="1:3">
      <c r="A129">
        <v>118</v>
      </c>
      <c r="B129">
        <v>103</v>
      </c>
      <c r="C129">
        <v>5.8</v>
      </c>
    </row>
    <row r="130" spans="1:3">
      <c r="A130">
        <v>119</v>
      </c>
      <c r="B130">
        <v>102</v>
      </c>
      <c r="C130">
        <v>5.9</v>
      </c>
    </row>
    <row r="131" spans="1:3">
      <c r="A131">
        <v>120</v>
      </c>
      <c r="B131">
        <v>103</v>
      </c>
      <c r="C131">
        <v>6</v>
      </c>
    </row>
    <row r="132" spans="1:3">
      <c r="A132">
        <v>121</v>
      </c>
      <c r="B132">
        <v>102</v>
      </c>
      <c r="C132">
        <v>5.9</v>
      </c>
    </row>
    <row r="133" spans="1:3">
      <c r="A133">
        <v>122</v>
      </c>
      <c r="B133">
        <v>100</v>
      </c>
      <c r="C133">
        <v>5.9</v>
      </c>
    </row>
    <row r="134" spans="1:3">
      <c r="A134">
        <v>123</v>
      </c>
      <c r="B134">
        <v>100</v>
      </c>
      <c r="C134">
        <v>5.8</v>
      </c>
    </row>
    <row r="135" spans="1:3">
      <c r="A135">
        <v>124</v>
      </c>
      <c r="B135">
        <v>104</v>
      </c>
      <c r="C135">
        <v>5.8</v>
      </c>
    </row>
    <row r="136" spans="1:3">
      <c r="A136">
        <v>125</v>
      </c>
      <c r="B136">
        <v>103</v>
      </c>
      <c r="C136">
        <v>5.6</v>
      </c>
    </row>
    <row r="137" spans="1:3">
      <c r="A137">
        <v>126</v>
      </c>
      <c r="B137">
        <v>101</v>
      </c>
      <c r="C137">
        <v>5.7</v>
      </c>
    </row>
    <row r="138" spans="1:3">
      <c r="A138">
        <v>127</v>
      </c>
      <c r="B138">
        <v>101</v>
      </c>
      <c r="C138">
        <v>5.7</v>
      </c>
    </row>
    <row r="139" spans="1:3">
      <c r="A139">
        <v>128</v>
      </c>
      <c r="B139">
        <v>102</v>
      </c>
      <c r="C139">
        <v>6</v>
      </c>
    </row>
    <row r="140" spans="1:3">
      <c r="A140">
        <v>129</v>
      </c>
      <c r="B140">
        <v>105</v>
      </c>
      <c r="C140">
        <v>5.9</v>
      </c>
    </row>
    <row r="141" spans="1:3">
      <c r="A141">
        <v>130</v>
      </c>
      <c r="B141">
        <v>106</v>
      </c>
      <c r="C141">
        <v>6</v>
      </c>
    </row>
    <row r="142" spans="1:3">
      <c r="A142">
        <v>131</v>
      </c>
      <c r="B142">
        <v>100</v>
      </c>
      <c r="C142">
        <v>5.9</v>
      </c>
    </row>
    <row r="143" spans="1:3">
      <c r="A143">
        <v>132</v>
      </c>
      <c r="B143">
        <v>99</v>
      </c>
      <c r="C143">
        <v>6</v>
      </c>
    </row>
    <row r="144" spans="1:3">
      <c r="A144">
        <v>133</v>
      </c>
      <c r="B144">
        <v>97</v>
      </c>
      <c r="C144">
        <v>6.3</v>
      </c>
    </row>
    <row r="145" spans="1:3">
      <c r="A145">
        <v>134</v>
      </c>
      <c r="B145">
        <v>94</v>
      </c>
      <c r="C145">
        <v>6.3</v>
      </c>
    </row>
    <row r="146" spans="1:3">
      <c r="A146">
        <v>135</v>
      </c>
      <c r="B146">
        <v>93</v>
      </c>
      <c r="C146">
        <v>6.3</v>
      </c>
    </row>
    <row r="147" spans="1:3">
      <c r="A147">
        <v>136</v>
      </c>
      <c r="B147">
        <v>82</v>
      </c>
      <c r="C147">
        <v>6.9</v>
      </c>
    </row>
    <row r="148" spans="1:3">
      <c r="A148">
        <v>137</v>
      </c>
      <c r="B148">
        <v>76</v>
      </c>
      <c r="C148">
        <v>7.5</v>
      </c>
    </row>
    <row r="149" spans="1:3">
      <c r="A149">
        <v>138</v>
      </c>
      <c r="B149">
        <v>77</v>
      </c>
      <c r="C149">
        <v>7.6</v>
      </c>
    </row>
    <row r="150" spans="1:3">
      <c r="A150">
        <v>139</v>
      </c>
      <c r="B150">
        <v>77</v>
      </c>
      <c r="C150">
        <v>7.8</v>
      </c>
    </row>
    <row r="151" spans="1:3">
      <c r="A151">
        <v>140</v>
      </c>
      <c r="B151">
        <v>78</v>
      </c>
      <c r="C151">
        <v>7.7</v>
      </c>
    </row>
    <row r="152" spans="1:3">
      <c r="A152">
        <v>141</v>
      </c>
      <c r="B152">
        <v>81</v>
      </c>
      <c r="C152">
        <v>7.5</v>
      </c>
    </row>
    <row r="153" spans="1:3">
      <c r="A153">
        <v>142</v>
      </c>
      <c r="B153">
        <v>81</v>
      </c>
      <c r="C153">
        <v>7.5</v>
      </c>
    </row>
    <row r="154" spans="1:3">
      <c r="A154">
        <v>143</v>
      </c>
      <c r="B154">
        <v>84</v>
      </c>
      <c r="C154">
        <v>7.5</v>
      </c>
    </row>
    <row r="155" spans="1:3">
      <c r="A155">
        <v>144</v>
      </c>
      <c r="B155">
        <v>81</v>
      </c>
      <c r="C155">
        <v>7.2</v>
      </c>
    </row>
    <row r="156" spans="1:3">
      <c r="A156">
        <v>145</v>
      </c>
      <c r="B156">
        <v>80</v>
      </c>
      <c r="C156">
        <v>7.5</v>
      </c>
    </row>
    <row r="157" spans="1:3">
      <c r="A157">
        <v>146</v>
      </c>
      <c r="B157">
        <v>81</v>
      </c>
      <c r="C157">
        <v>7.4</v>
      </c>
    </row>
    <row r="158" spans="1:3">
      <c r="A158">
        <v>147</v>
      </c>
      <c r="B158">
        <v>81</v>
      </c>
      <c r="C158">
        <v>7.4</v>
      </c>
    </row>
    <row r="159" spans="1:3">
      <c r="A159">
        <v>148</v>
      </c>
      <c r="B159">
        <v>81</v>
      </c>
      <c r="C159">
        <v>7.2</v>
      </c>
    </row>
    <row r="160" spans="1:3">
      <c r="A160">
        <v>149</v>
      </c>
      <c r="B160">
        <v>80</v>
      </c>
      <c r="C160">
        <v>7.5</v>
      </c>
    </row>
    <row r="161" spans="1:3">
      <c r="A161">
        <v>150</v>
      </c>
      <c r="B161">
        <v>80</v>
      </c>
      <c r="C161">
        <v>7.5</v>
      </c>
    </row>
    <row r="162" spans="1:3">
      <c r="A162">
        <v>151</v>
      </c>
      <c r="B162">
        <v>80</v>
      </c>
      <c r="C162">
        <v>7.2</v>
      </c>
    </row>
    <row r="163" spans="1:3">
      <c r="A163">
        <v>152</v>
      </c>
      <c r="B163">
        <v>79</v>
      </c>
      <c r="C163">
        <v>7.4</v>
      </c>
    </row>
    <row r="164" spans="1:3">
      <c r="A164">
        <v>153</v>
      </c>
      <c r="B164">
        <v>75</v>
      </c>
      <c r="C164">
        <v>7.6</v>
      </c>
    </row>
    <row r="165" spans="1:3">
      <c r="A165">
        <v>154</v>
      </c>
      <c r="B165">
        <v>71</v>
      </c>
      <c r="C165">
        <v>7.9</v>
      </c>
    </row>
    <row r="166" spans="1:3">
      <c r="A166">
        <v>155</v>
      </c>
      <c r="B166">
        <v>70</v>
      </c>
      <c r="C166">
        <v>8.3000000000000007</v>
      </c>
    </row>
    <row r="167" spans="1:3">
      <c r="A167">
        <v>156</v>
      </c>
      <c r="B167">
        <v>67</v>
      </c>
      <c r="C167">
        <v>8.5</v>
      </c>
    </row>
    <row r="168" spans="1:3">
      <c r="A168">
        <v>157</v>
      </c>
      <c r="B168">
        <v>67</v>
      </c>
      <c r="C168">
        <v>8.6</v>
      </c>
    </row>
    <row r="169" spans="1:3">
      <c r="A169">
        <v>158</v>
      </c>
      <c r="B169">
        <v>64</v>
      </c>
      <c r="C169">
        <v>8.9</v>
      </c>
    </row>
    <row r="170" spans="1:3">
      <c r="A170">
        <v>159</v>
      </c>
      <c r="B170">
        <v>62</v>
      </c>
      <c r="C170">
        <v>9</v>
      </c>
    </row>
    <row r="171" spans="1:3">
      <c r="A171">
        <v>160</v>
      </c>
      <c r="B171">
        <v>60</v>
      </c>
      <c r="C171">
        <v>9.3000000000000007</v>
      </c>
    </row>
    <row r="172" spans="1:3">
      <c r="A172">
        <v>161</v>
      </c>
      <c r="B172">
        <v>59</v>
      </c>
      <c r="C172">
        <v>9.4</v>
      </c>
    </row>
    <row r="173" spans="1:3">
      <c r="A173">
        <v>162</v>
      </c>
      <c r="B173">
        <v>56</v>
      </c>
      <c r="C173">
        <v>9.6</v>
      </c>
    </row>
    <row r="174" spans="1:3">
      <c r="A174">
        <v>163</v>
      </c>
      <c r="B174">
        <v>53</v>
      </c>
      <c r="C174">
        <v>9.8000000000000007</v>
      </c>
    </row>
    <row r="175" spans="1:3">
      <c r="A175">
        <v>164</v>
      </c>
      <c r="B175">
        <v>52</v>
      </c>
      <c r="C175">
        <v>9.8000000000000007</v>
      </c>
    </row>
    <row r="176" spans="1:3">
      <c r="A176">
        <v>165</v>
      </c>
      <c r="B176">
        <v>49</v>
      </c>
      <c r="C176">
        <v>10.1</v>
      </c>
    </row>
    <row r="177" spans="1:3">
      <c r="A177">
        <v>166</v>
      </c>
      <c r="B177">
        <v>49</v>
      </c>
      <c r="C177">
        <v>10.4</v>
      </c>
    </row>
    <row r="178" spans="1:3">
      <c r="A178">
        <v>167</v>
      </c>
      <c r="B178">
        <v>50</v>
      </c>
      <c r="C178">
        <v>10.8</v>
      </c>
    </row>
    <row r="179" spans="1:3">
      <c r="A179">
        <v>168</v>
      </c>
      <c r="B179">
        <v>51</v>
      </c>
      <c r="C179">
        <v>10.8</v>
      </c>
    </row>
    <row r="180" spans="1:3">
      <c r="A180">
        <v>169</v>
      </c>
      <c r="B180">
        <v>52</v>
      </c>
      <c r="C180">
        <v>10.4</v>
      </c>
    </row>
    <row r="181" spans="1:3">
      <c r="A181">
        <v>170</v>
      </c>
      <c r="B181">
        <v>52</v>
      </c>
      <c r="C181">
        <v>10.4</v>
      </c>
    </row>
    <row r="182" spans="1:3">
      <c r="A182">
        <v>171</v>
      </c>
      <c r="B182">
        <v>54</v>
      </c>
      <c r="C182">
        <v>10.3</v>
      </c>
    </row>
    <row r="183" spans="1:3">
      <c r="A183">
        <v>172</v>
      </c>
      <c r="B183">
        <v>55</v>
      </c>
      <c r="C183">
        <v>10.199999999999999</v>
      </c>
    </row>
    <row r="184" spans="1:3">
      <c r="A184">
        <v>173</v>
      </c>
      <c r="B184">
        <v>60</v>
      </c>
      <c r="C184">
        <v>10.1</v>
      </c>
    </row>
    <row r="185" spans="1:3">
      <c r="A185">
        <v>174</v>
      </c>
      <c r="B185">
        <v>60</v>
      </c>
      <c r="C185">
        <v>10.1</v>
      </c>
    </row>
    <row r="186" spans="1:3">
      <c r="A186">
        <v>175</v>
      </c>
      <c r="B186">
        <v>64</v>
      </c>
      <c r="C186">
        <v>9.4</v>
      </c>
    </row>
    <row r="187" spans="1:3">
      <c r="A187">
        <v>176</v>
      </c>
      <c r="B187">
        <v>65</v>
      </c>
      <c r="C187">
        <v>9.5</v>
      </c>
    </row>
    <row r="188" spans="1:3">
      <c r="A188">
        <v>177</v>
      </c>
      <c r="B188">
        <v>67</v>
      </c>
      <c r="C188">
        <v>9.1999999999999993</v>
      </c>
    </row>
    <row r="189" spans="1:3">
      <c r="A189">
        <v>178</v>
      </c>
      <c r="B189">
        <v>72</v>
      </c>
      <c r="C189">
        <v>8.8000000000000007</v>
      </c>
    </row>
    <row r="190" spans="1:3">
      <c r="A190">
        <v>179</v>
      </c>
      <c r="B190">
        <v>73</v>
      </c>
      <c r="C190">
        <v>8.5</v>
      </c>
    </row>
    <row r="191" spans="1:3">
      <c r="A191">
        <v>180</v>
      </c>
      <c r="B191">
        <v>76</v>
      </c>
      <c r="C191">
        <v>8.3000000000000007</v>
      </c>
    </row>
    <row r="192" spans="1:3">
      <c r="A192">
        <v>181</v>
      </c>
      <c r="B192">
        <v>78</v>
      </c>
      <c r="C192">
        <v>8</v>
      </c>
    </row>
    <row r="193" spans="1:3">
      <c r="A193">
        <v>182</v>
      </c>
      <c r="B193">
        <v>81</v>
      </c>
      <c r="C193">
        <v>7.8</v>
      </c>
    </row>
    <row r="194" spans="1:3">
      <c r="A194">
        <v>183</v>
      </c>
      <c r="B194">
        <v>81</v>
      </c>
      <c r="C194">
        <v>7.8</v>
      </c>
    </row>
    <row r="195" spans="1:3">
      <c r="A195">
        <v>184</v>
      </c>
      <c r="B195">
        <v>85</v>
      </c>
      <c r="C195">
        <v>7.7</v>
      </c>
    </row>
    <row r="196" spans="1:3">
      <c r="A196">
        <v>185</v>
      </c>
      <c r="B196">
        <v>86</v>
      </c>
      <c r="C196">
        <v>7.4</v>
      </c>
    </row>
    <row r="197" spans="1:3">
      <c r="A197">
        <v>186</v>
      </c>
      <c r="B197">
        <v>87</v>
      </c>
      <c r="C197">
        <v>7.2</v>
      </c>
    </row>
    <row r="198" spans="1:3">
      <c r="A198">
        <v>187</v>
      </c>
      <c r="B198">
        <v>89</v>
      </c>
      <c r="C198">
        <v>7.5</v>
      </c>
    </row>
    <row r="199" spans="1:3">
      <c r="A199">
        <v>188</v>
      </c>
      <c r="B199">
        <v>86</v>
      </c>
      <c r="C199">
        <v>7.5</v>
      </c>
    </row>
    <row r="200" spans="1:3">
      <c r="A200">
        <v>189</v>
      </c>
      <c r="B200">
        <v>88</v>
      </c>
      <c r="C200">
        <v>7.3</v>
      </c>
    </row>
    <row r="201" spans="1:3">
      <c r="A201">
        <v>190</v>
      </c>
      <c r="B201">
        <v>89</v>
      </c>
      <c r="C201">
        <v>7.4</v>
      </c>
    </row>
    <row r="202" spans="1:3">
      <c r="A202">
        <v>191</v>
      </c>
      <c r="B202">
        <v>88</v>
      </c>
      <c r="C202">
        <v>7.2</v>
      </c>
    </row>
    <row r="203" spans="1:3">
      <c r="A203">
        <v>192</v>
      </c>
      <c r="B203">
        <v>91</v>
      </c>
      <c r="C203">
        <v>7.3</v>
      </c>
    </row>
    <row r="204" spans="1:3">
      <c r="A204">
        <v>193</v>
      </c>
      <c r="B204">
        <v>89</v>
      </c>
      <c r="C204">
        <v>7.3</v>
      </c>
    </row>
    <row r="205" spans="1:3">
      <c r="A205">
        <v>194</v>
      </c>
      <c r="B205">
        <v>90</v>
      </c>
      <c r="C205">
        <v>7.2</v>
      </c>
    </row>
    <row r="206" spans="1:3">
      <c r="A206">
        <v>195</v>
      </c>
      <c r="B206">
        <v>92</v>
      </c>
      <c r="C206">
        <v>7.2</v>
      </c>
    </row>
    <row r="207" spans="1:3">
      <c r="A207">
        <v>196</v>
      </c>
      <c r="B207">
        <v>91</v>
      </c>
      <c r="C207">
        <v>7.3</v>
      </c>
    </row>
    <row r="208" spans="1:3">
      <c r="A208">
        <v>197</v>
      </c>
      <c r="B208">
        <v>92</v>
      </c>
      <c r="C208">
        <v>7.2</v>
      </c>
    </row>
    <row r="209" spans="1:3">
      <c r="A209">
        <v>198</v>
      </c>
      <c r="B209">
        <v>92</v>
      </c>
      <c r="C209">
        <v>7.4</v>
      </c>
    </row>
    <row r="210" spans="1:3">
      <c r="A210">
        <v>199</v>
      </c>
      <c r="B210">
        <v>91</v>
      </c>
      <c r="C210">
        <v>7.4</v>
      </c>
    </row>
    <row r="211" spans="1:3">
      <c r="A211">
        <v>200</v>
      </c>
      <c r="B211">
        <v>92</v>
      </c>
      <c r="C211">
        <v>7.1</v>
      </c>
    </row>
    <row r="212" spans="1:3">
      <c r="A212">
        <v>201</v>
      </c>
      <c r="B212">
        <v>93</v>
      </c>
      <c r="C212">
        <v>7.1</v>
      </c>
    </row>
    <row r="213" spans="1:3">
      <c r="A213">
        <v>202</v>
      </c>
      <c r="B213">
        <v>92</v>
      </c>
      <c r="C213">
        <v>7.1</v>
      </c>
    </row>
    <row r="214" spans="1:3">
      <c r="A214">
        <v>203</v>
      </c>
      <c r="B214">
        <v>93</v>
      </c>
      <c r="C214">
        <v>7</v>
      </c>
    </row>
    <row r="215" spans="1:3">
      <c r="A215">
        <v>204</v>
      </c>
      <c r="B215">
        <v>90</v>
      </c>
      <c r="C215">
        <v>7</v>
      </c>
    </row>
    <row r="216" spans="1:3">
      <c r="A216">
        <v>205</v>
      </c>
      <c r="B216">
        <v>91</v>
      </c>
      <c r="C216">
        <v>6.7</v>
      </c>
    </row>
    <row r="217" spans="1:3">
      <c r="A217">
        <v>206</v>
      </c>
      <c r="B217">
        <v>91</v>
      </c>
      <c r="C217">
        <v>7.2</v>
      </c>
    </row>
    <row r="218" spans="1:3">
      <c r="A218">
        <v>207</v>
      </c>
      <c r="B218">
        <v>91</v>
      </c>
      <c r="C218">
        <v>7.2</v>
      </c>
    </row>
    <row r="219" spans="1:3">
      <c r="A219">
        <v>208</v>
      </c>
      <c r="B219">
        <v>91</v>
      </c>
      <c r="C219">
        <v>7.1</v>
      </c>
    </row>
    <row r="220" spans="1:3">
      <c r="A220">
        <v>209</v>
      </c>
      <c r="B220">
        <v>90</v>
      </c>
      <c r="C220">
        <v>7.2</v>
      </c>
    </row>
    <row r="221" spans="1:3">
      <c r="A221">
        <v>210</v>
      </c>
      <c r="B221">
        <v>92</v>
      </c>
      <c r="C221">
        <v>7.2</v>
      </c>
    </row>
    <row r="222" spans="1:3">
      <c r="A222">
        <v>211</v>
      </c>
      <c r="B222">
        <v>91</v>
      </c>
      <c r="C222">
        <v>7</v>
      </c>
    </row>
    <row r="223" spans="1:3">
      <c r="A223">
        <v>212</v>
      </c>
      <c r="B223">
        <v>92</v>
      </c>
      <c r="C223">
        <v>6.9</v>
      </c>
    </row>
    <row r="224" spans="1:3">
      <c r="A224">
        <v>213</v>
      </c>
      <c r="B224">
        <v>93</v>
      </c>
      <c r="C224">
        <v>7</v>
      </c>
    </row>
    <row r="225" spans="1:3">
      <c r="A225">
        <v>214</v>
      </c>
      <c r="B225">
        <v>93</v>
      </c>
      <c r="C225">
        <v>7</v>
      </c>
    </row>
    <row r="226" spans="1:3">
      <c r="A226">
        <v>215</v>
      </c>
      <c r="B226">
        <v>97</v>
      </c>
      <c r="C226">
        <v>6.9</v>
      </c>
    </row>
    <row r="227" spans="1:3">
      <c r="A227">
        <v>216</v>
      </c>
      <c r="B227">
        <v>92</v>
      </c>
      <c r="C227">
        <v>6.6</v>
      </c>
    </row>
    <row r="228" spans="1:3">
      <c r="A228">
        <v>217</v>
      </c>
      <c r="B228">
        <v>91</v>
      </c>
      <c r="C228">
        <v>6.6</v>
      </c>
    </row>
    <row r="229" spans="1:3">
      <c r="A229">
        <v>218</v>
      </c>
      <c r="B229">
        <v>95</v>
      </c>
      <c r="C229">
        <v>6.6</v>
      </c>
    </row>
    <row r="230" spans="1:3">
      <c r="A230">
        <v>219</v>
      </c>
      <c r="B230">
        <v>99</v>
      </c>
      <c r="C230">
        <v>6.6</v>
      </c>
    </row>
    <row r="231" spans="1:3">
      <c r="A231">
        <v>220</v>
      </c>
      <c r="B231">
        <v>97</v>
      </c>
      <c r="C231">
        <v>6.3</v>
      </c>
    </row>
    <row r="232" spans="1:3">
      <c r="A232">
        <v>221</v>
      </c>
      <c r="B232">
        <v>99</v>
      </c>
      <c r="C232">
        <v>6.3</v>
      </c>
    </row>
    <row r="233" spans="1:3">
      <c r="A233">
        <v>222</v>
      </c>
      <c r="B233">
        <v>100</v>
      </c>
      <c r="C233">
        <v>6.2</v>
      </c>
    </row>
    <row r="234" spans="1:3">
      <c r="A234">
        <v>223</v>
      </c>
      <c r="B234">
        <v>100</v>
      </c>
      <c r="C234">
        <v>6.1</v>
      </c>
    </row>
    <row r="235" spans="1:3">
      <c r="A235">
        <v>224</v>
      </c>
      <c r="B235">
        <v>104</v>
      </c>
      <c r="C235">
        <v>6</v>
      </c>
    </row>
    <row r="236" spans="1:3">
      <c r="A236">
        <v>225</v>
      </c>
      <c r="B236">
        <v>103</v>
      </c>
      <c r="C236">
        <v>5.9</v>
      </c>
    </row>
    <row r="237" spans="1:3">
      <c r="A237">
        <v>226</v>
      </c>
      <c r="B237">
        <v>104</v>
      </c>
      <c r="C237">
        <v>6</v>
      </c>
    </row>
    <row r="238" spans="1:3">
      <c r="A238">
        <v>227</v>
      </c>
      <c r="B238">
        <v>106</v>
      </c>
      <c r="C238">
        <v>5.8</v>
      </c>
    </row>
    <row r="239" spans="1:3">
      <c r="A239">
        <v>228</v>
      </c>
      <c r="B239">
        <v>101</v>
      </c>
      <c r="C239">
        <v>5.7</v>
      </c>
    </row>
    <row r="240" spans="1:3">
      <c r="A240">
        <v>229</v>
      </c>
      <c r="B240">
        <v>102</v>
      </c>
      <c r="C240">
        <v>5.7</v>
      </c>
    </row>
    <row r="241" spans="1:3">
      <c r="A241">
        <v>230</v>
      </c>
      <c r="B241">
        <v>102</v>
      </c>
      <c r="C241">
        <v>5.7</v>
      </c>
    </row>
    <row r="242" spans="1:3">
      <c r="A242">
        <v>231</v>
      </c>
      <c r="B242">
        <v>104</v>
      </c>
      <c r="C242">
        <v>5.7</v>
      </c>
    </row>
    <row r="243" spans="1:3">
      <c r="A243">
        <v>232</v>
      </c>
      <c r="B243">
        <v>102</v>
      </c>
      <c r="C243">
        <v>5.4</v>
      </c>
    </row>
    <row r="244" spans="1:3">
      <c r="A244">
        <v>233</v>
      </c>
      <c r="B244">
        <v>105</v>
      </c>
      <c r="C244">
        <v>5.6</v>
      </c>
    </row>
    <row r="245" spans="1:3">
      <c r="A245">
        <v>234</v>
      </c>
      <c r="B245">
        <v>102</v>
      </c>
      <c r="C245">
        <v>5.4</v>
      </c>
    </row>
    <row r="246" spans="1:3">
      <c r="A246">
        <v>235</v>
      </c>
      <c r="B246">
        <v>104</v>
      </c>
      <c r="C246">
        <v>5.4</v>
      </c>
    </row>
    <row r="247" spans="1:3">
      <c r="A247">
        <v>236</v>
      </c>
      <c r="B247">
        <v>104</v>
      </c>
      <c r="C247">
        <v>5.6</v>
      </c>
    </row>
    <row r="248" spans="1:3">
      <c r="A248">
        <v>237</v>
      </c>
      <c r="B248">
        <v>100</v>
      </c>
      <c r="C248">
        <v>5.4</v>
      </c>
    </row>
    <row r="249" spans="1:3">
      <c r="A249">
        <v>238</v>
      </c>
      <c r="B249">
        <v>104</v>
      </c>
      <c r="C249">
        <v>5.4</v>
      </c>
    </row>
    <row r="250" spans="1:3">
      <c r="A250">
        <v>239</v>
      </c>
      <c r="B250">
        <v>102</v>
      </c>
      <c r="C250">
        <v>5.3</v>
      </c>
    </row>
    <row r="251" spans="1:3">
      <c r="A251">
        <v>240</v>
      </c>
      <c r="B251">
        <v>104</v>
      </c>
      <c r="C251">
        <v>5.3</v>
      </c>
    </row>
    <row r="252" spans="1:3">
      <c r="A252">
        <v>241</v>
      </c>
      <c r="B252">
        <v>104</v>
      </c>
      <c r="C252">
        <v>5.4</v>
      </c>
    </row>
    <row r="253" spans="1:3">
      <c r="A253">
        <v>242</v>
      </c>
      <c r="B253">
        <v>103</v>
      </c>
      <c r="C253">
        <v>5.2</v>
      </c>
    </row>
    <row r="254" spans="1:3">
      <c r="A254">
        <v>243</v>
      </c>
      <c r="B254">
        <v>99</v>
      </c>
      <c r="C254">
        <v>5</v>
      </c>
    </row>
    <row r="255" spans="1:3">
      <c r="A255">
        <v>244</v>
      </c>
      <c r="B255">
        <v>103</v>
      </c>
      <c r="C255">
        <v>5.2</v>
      </c>
    </row>
    <row r="256" spans="1:3">
      <c r="A256">
        <v>245</v>
      </c>
      <c r="B256">
        <v>98</v>
      </c>
      <c r="C256">
        <v>5.2</v>
      </c>
    </row>
    <row r="257" spans="1:3">
      <c r="A257">
        <v>246</v>
      </c>
      <c r="B257">
        <v>96</v>
      </c>
      <c r="C257">
        <v>5.3</v>
      </c>
    </row>
    <row r="258" spans="1:3">
      <c r="A258">
        <v>247</v>
      </c>
      <c r="B258">
        <v>96</v>
      </c>
      <c r="C258">
        <v>5.2</v>
      </c>
    </row>
    <row r="259" spans="1:3">
      <c r="A259">
        <v>248</v>
      </c>
      <c r="B259">
        <v>95</v>
      </c>
      <c r="C259">
        <v>5.2</v>
      </c>
    </row>
    <row r="260" spans="1:3">
      <c r="A260">
        <v>249</v>
      </c>
      <c r="B260">
        <v>95</v>
      </c>
      <c r="C260">
        <v>5.3</v>
      </c>
    </row>
    <row r="261" spans="1:3">
      <c r="A261">
        <v>250</v>
      </c>
      <c r="B261">
        <v>97</v>
      </c>
      <c r="C261">
        <v>5.3</v>
      </c>
    </row>
    <row r="262" spans="1:3">
      <c r="A262">
        <v>251</v>
      </c>
      <c r="B262">
        <v>94</v>
      </c>
      <c r="C262">
        <v>5.4</v>
      </c>
    </row>
    <row r="263" spans="1:3">
      <c r="A263">
        <v>252</v>
      </c>
      <c r="B263">
        <v>96</v>
      </c>
      <c r="C263">
        <v>5.4</v>
      </c>
    </row>
    <row r="264" spans="1:3">
      <c r="A264">
        <v>253</v>
      </c>
      <c r="B264">
        <v>97</v>
      </c>
      <c r="C264">
        <v>5.4</v>
      </c>
    </row>
    <row r="265" spans="1:3">
      <c r="A265">
        <v>254</v>
      </c>
      <c r="B265">
        <v>92</v>
      </c>
      <c r="C265">
        <v>5.3</v>
      </c>
    </row>
    <row r="266" spans="1:3">
      <c r="A266">
        <v>255</v>
      </c>
      <c r="B266">
        <v>90</v>
      </c>
      <c r="C266">
        <v>5.2</v>
      </c>
    </row>
    <row r="267" spans="1:3">
      <c r="A267">
        <v>256</v>
      </c>
      <c r="B267">
        <v>90</v>
      </c>
      <c r="C267">
        <v>5.4</v>
      </c>
    </row>
    <row r="268" spans="1:3">
      <c r="A268">
        <v>257</v>
      </c>
      <c r="B268">
        <v>86</v>
      </c>
      <c r="C268">
        <v>5.4</v>
      </c>
    </row>
    <row r="269" spans="1:3">
      <c r="A269">
        <v>258</v>
      </c>
      <c r="B269">
        <v>86</v>
      </c>
      <c r="C269">
        <v>5.2</v>
      </c>
    </row>
    <row r="270" spans="1:3">
      <c r="A270">
        <v>259</v>
      </c>
      <c r="B270">
        <v>85</v>
      </c>
      <c r="C270">
        <v>5.5</v>
      </c>
    </row>
    <row r="271" spans="1:3">
      <c r="A271">
        <v>260</v>
      </c>
      <c r="B271">
        <v>82</v>
      </c>
      <c r="C271">
        <v>5.7</v>
      </c>
    </row>
    <row r="272" spans="1:3">
      <c r="A272">
        <v>261</v>
      </c>
      <c r="B272">
        <v>81</v>
      </c>
      <c r="C272">
        <v>5.9</v>
      </c>
    </row>
    <row r="273" spans="1:3">
      <c r="A273">
        <v>262</v>
      </c>
      <c r="B273">
        <v>75</v>
      </c>
      <c r="C273">
        <v>5.9</v>
      </c>
    </row>
    <row r="274" spans="1:3">
      <c r="A274">
        <v>263</v>
      </c>
      <c r="B274">
        <v>71</v>
      </c>
      <c r="C274">
        <v>6.2</v>
      </c>
    </row>
    <row r="275" spans="1:3">
      <c r="A275">
        <v>264</v>
      </c>
      <c r="B275">
        <v>71</v>
      </c>
      <c r="C275">
        <v>6.3</v>
      </c>
    </row>
    <row r="276" spans="1:3">
      <c r="A276">
        <v>265</v>
      </c>
      <c r="B276">
        <v>67</v>
      </c>
      <c r="C276">
        <v>6.4</v>
      </c>
    </row>
    <row r="277" spans="1:3">
      <c r="A277">
        <v>266</v>
      </c>
      <c r="B277">
        <v>64</v>
      </c>
      <c r="C277">
        <v>6.6</v>
      </c>
    </row>
    <row r="278" spans="1:3">
      <c r="A278">
        <v>267</v>
      </c>
      <c r="B278">
        <v>63</v>
      </c>
      <c r="C278">
        <v>6.8</v>
      </c>
    </row>
    <row r="279" spans="1:3">
      <c r="A279">
        <v>268</v>
      </c>
      <c r="B279">
        <v>63</v>
      </c>
      <c r="C279">
        <v>6.7</v>
      </c>
    </row>
    <row r="280" spans="1:3">
      <c r="A280">
        <v>269</v>
      </c>
      <c r="B280">
        <v>61</v>
      </c>
      <c r="C280">
        <v>6.9</v>
      </c>
    </row>
    <row r="281" spans="1:3">
      <c r="A281">
        <v>270</v>
      </c>
      <c r="B281">
        <v>64</v>
      </c>
      <c r="C281">
        <v>6.9</v>
      </c>
    </row>
    <row r="282" spans="1:3">
      <c r="A282">
        <v>271</v>
      </c>
      <c r="B282">
        <v>61</v>
      </c>
      <c r="C282">
        <v>6.8</v>
      </c>
    </row>
    <row r="283" spans="1:3">
      <c r="A283">
        <v>272</v>
      </c>
      <c r="B283">
        <v>60</v>
      </c>
      <c r="C283">
        <v>6.9</v>
      </c>
    </row>
    <row r="284" spans="1:3">
      <c r="A284">
        <v>273</v>
      </c>
      <c r="B284">
        <v>62</v>
      </c>
      <c r="C284">
        <v>6.9</v>
      </c>
    </row>
    <row r="285" spans="1:3">
      <c r="A285">
        <v>274</v>
      </c>
      <c r="B285">
        <v>59</v>
      </c>
      <c r="C285">
        <v>7</v>
      </c>
    </row>
    <row r="286" spans="1:3">
      <c r="A286">
        <v>275</v>
      </c>
      <c r="B286">
        <v>60</v>
      </c>
      <c r="C286">
        <v>7</v>
      </c>
    </row>
    <row r="287" spans="1:3">
      <c r="A287">
        <v>276</v>
      </c>
      <c r="B287">
        <v>60</v>
      </c>
      <c r="C287">
        <v>7.3</v>
      </c>
    </row>
    <row r="288" spans="1:3">
      <c r="A288">
        <v>277</v>
      </c>
      <c r="B288">
        <v>59</v>
      </c>
      <c r="C288">
        <v>7.3</v>
      </c>
    </row>
    <row r="289" spans="1:3">
      <c r="A289">
        <v>278</v>
      </c>
      <c r="B289">
        <v>61</v>
      </c>
      <c r="C289">
        <v>7.4</v>
      </c>
    </row>
    <row r="290" spans="1:3">
      <c r="A290">
        <v>279</v>
      </c>
      <c r="B290">
        <v>64</v>
      </c>
      <c r="C290">
        <v>7.4</v>
      </c>
    </row>
    <row r="291" spans="1:3">
      <c r="A291">
        <v>280</v>
      </c>
      <c r="B291">
        <v>61</v>
      </c>
      <c r="C291">
        <v>7.4</v>
      </c>
    </row>
    <row r="292" spans="1:3">
      <c r="A292">
        <v>281</v>
      </c>
      <c r="B292">
        <v>63</v>
      </c>
      <c r="C292">
        <v>7.6</v>
      </c>
    </row>
    <row r="293" spans="1:3">
      <c r="A293">
        <v>282</v>
      </c>
      <c r="B293">
        <v>63</v>
      </c>
      <c r="C293">
        <v>7.8</v>
      </c>
    </row>
    <row r="294" spans="1:3">
      <c r="A294">
        <v>283</v>
      </c>
      <c r="B294">
        <v>61</v>
      </c>
      <c r="C294">
        <v>7.7</v>
      </c>
    </row>
    <row r="295" spans="1:3">
      <c r="A295">
        <v>284</v>
      </c>
      <c r="B295">
        <v>63</v>
      </c>
      <c r="C295">
        <v>7.6</v>
      </c>
    </row>
    <row r="296" spans="1:3">
      <c r="A296">
        <v>285</v>
      </c>
      <c r="B296">
        <v>62</v>
      </c>
      <c r="C296">
        <v>7.6</v>
      </c>
    </row>
    <row r="297" spans="1:3">
      <c r="A297">
        <v>286</v>
      </c>
      <c r="B297">
        <v>62</v>
      </c>
      <c r="C297">
        <v>7.3</v>
      </c>
    </row>
    <row r="298" spans="1:3">
      <c r="A298">
        <v>287</v>
      </c>
      <c r="B298">
        <v>66</v>
      </c>
      <c r="C298">
        <v>7.4</v>
      </c>
    </row>
    <row r="299" spans="1:3">
      <c r="A299">
        <v>288</v>
      </c>
      <c r="B299">
        <v>65</v>
      </c>
      <c r="C299">
        <v>7.4</v>
      </c>
    </row>
    <row r="300" spans="1:3">
      <c r="A300">
        <v>289</v>
      </c>
      <c r="B300">
        <v>66</v>
      </c>
      <c r="C300">
        <v>7.3</v>
      </c>
    </row>
    <row r="301" spans="1:3">
      <c r="A301">
        <v>290</v>
      </c>
      <c r="B301">
        <v>67</v>
      </c>
      <c r="C301">
        <v>7.1</v>
      </c>
    </row>
    <row r="302" spans="1:3">
      <c r="A302">
        <v>291</v>
      </c>
      <c r="B302">
        <v>66</v>
      </c>
      <c r="C302">
        <v>7</v>
      </c>
    </row>
    <row r="303" spans="1:3">
      <c r="A303">
        <v>292</v>
      </c>
      <c r="B303">
        <v>66</v>
      </c>
      <c r="C303">
        <v>7.1</v>
      </c>
    </row>
    <row r="304" spans="1:3">
      <c r="A304">
        <v>293</v>
      </c>
      <c r="B304">
        <v>68</v>
      </c>
      <c r="C304">
        <v>7.1</v>
      </c>
    </row>
    <row r="305" spans="1:3">
      <c r="A305">
        <v>294</v>
      </c>
      <c r="B305">
        <v>67</v>
      </c>
      <c r="C305">
        <v>7</v>
      </c>
    </row>
    <row r="306" spans="1:3">
      <c r="A306">
        <v>295</v>
      </c>
      <c r="B306">
        <v>68</v>
      </c>
      <c r="C306">
        <v>6.9</v>
      </c>
    </row>
    <row r="307" spans="1:3">
      <c r="A307">
        <v>296</v>
      </c>
      <c r="B307">
        <v>71</v>
      </c>
      <c r="C307">
        <v>6.8</v>
      </c>
    </row>
    <row r="308" spans="1:3">
      <c r="A308">
        <v>297</v>
      </c>
      <c r="B308">
        <v>71</v>
      </c>
      <c r="C308">
        <v>6.7</v>
      </c>
    </row>
    <row r="309" spans="1:3">
      <c r="A309">
        <v>298</v>
      </c>
      <c r="B309">
        <v>74</v>
      </c>
      <c r="C309">
        <v>6.8</v>
      </c>
    </row>
    <row r="310" spans="1:3">
      <c r="A310">
        <v>299</v>
      </c>
      <c r="B310">
        <v>74</v>
      </c>
      <c r="C310">
        <v>6.6</v>
      </c>
    </row>
    <row r="311" spans="1:3">
      <c r="A311">
        <v>300</v>
      </c>
      <c r="B311">
        <v>75</v>
      </c>
      <c r="C311">
        <v>6.5</v>
      </c>
    </row>
    <row r="312" spans="1:3">
      <c r="A312">
        <v>301</v>
      </c>
      <c r="B312">
        <v>77</v>
      </c>
      <c r="C312">
        <v>6.6</v>
      </c>
    </row>
    <row r="313" spans="1:3">
      <c r="A313">
        <v>302</v>
      </c>
      <c r="B313">
        <v>79</v>
      </c>
      <c r="C313">
        <v>6.6</v>
      </c>
    </row>
    <row r="314" spans="1:3">
      <c r="A314">
        <v>303</v>
      </c>
      <c r="B314">
        <v>80</v>
      </c>
      <c r="C314">
        <v>6.5</v>
      </c>
    </row>
    <row r="315" spans="1:3">
      <c r="A315">
        <v>304</v>
      </c>
      <c r="B315">
        <v>80</v>
      </c>
      <c r="C315">
        <v>6.4</v>
      </c>
    </row>
    <row r="316" spans="1:3">
      <c r="A316">
        <v>305</v>
      </c>
      <c r="B316">
        <v>83</v>
      </c>
      <c r="C316">
        <v>6.1</v>
      </c>
    </row>
    <row r="317" spans="1:3">
      <c r="A317">
        <v>306</v>
      </c>
      <c r="B317">
        <v>81</v>
      </c>
      <c r="C317">
        <v>6.1</v>
      </c>
    </row>
    <row r="318" spans="1:3">
      <c r="A318">
        <v>307</v>
      </c>
      <c r="B318">
        <v>85</v>
      </c>
      <c r="C318">
        <v>6.1</v>
      </c>
    </row>
    <row r="319" spans="1:3">
      <c r="A319">
        <v>308</v>
      </c>
      <c r="B319">
        <v>82</v>
      </c>
      <c r="C319">
        <v>6</v>
      </c>
    </row>
    <row r="320" spans="1:3">
      <c r="A320">
        <v>309</v>
      </c>
      <c r="B320">
        <v>83</v>
      </c>
      <c r="C320">
        <v>5.9</v>
      </c>
    </row>
    <row r="321" spans="1:3">
      <c r="A321">
        <v>310</v>
      </c>
      <c r="B321">
        <v>88</v>
      </c>
      <c r="C321">
        <v>5.8</v>
      </c>
    </row>
    <row r="322" spans="1:3">
      <c r="A322">
        <v>311</v>
      </c>
      <c r="B322">
        <v>87</v>
      </c>
      <c r="C322">
        <v>5.6</v>
      </c>
    </row>
    <row r="323" spans="1:3">
      <c r="A323">
        <v>312</v>
      </c>
      <c r="B323">
        <v>90</v>
      </c>
      <c r="C323">
        <v>5.5</v>
      </c>
    </row>
    <row r="324" spans="1:3">
      <c r="A324">
        <v>313</v>
      </c>
      <c r="B324">
        <v>87</v>
      </c>
      <c r="C324">
        <v>5.6</v>
      </c>
    </row>
    <row r="325" spans="1:3">
      <c r="A325">
        <v>314</v>
      </c>
      <c r="B325">
        <v>86</v>
      </c>
      <c r="C325">
        <v>5.4</v>
      </c>
    </row>
    <row r="326" spans="1:3">
      <c r="A326">
        <v>315</v>
      </c>
      <c r="B326">
        <v>85</v>
      </c>
      <c r="C326">
        <v>5.4</v>
      </c>
    </row>
    <row r="327" spans="1:3">
      <c r="A327">
        <v>316</v>
      </c>
      <c r="B327">
        <v>86</v>
      </c>
      <c r="C327">
        <v>5.8</v>
      </c>
    </row>
    <row r="328" spans="1:3">
      <c r="A328">
        <v>317</v>
      </c>
      <c r="B328">
        <v>80</v>
      </c>
      <c r="C328">
        <v>5.6</v>
      </c>
    </row>
    <row r="329" spans="1:3">
      <c r="A329">
        <v>318</v>
      </c>
      <c r="B329">
        <v>81</v>
      </c>
      <c r="C329">
        <v>5.6</v>
      </c>
    </row>
    <row r="330" spans="1:3">
      <c r="A330">
        <v>319</v>
      </c>
      <c r="B330">
        <v>85</v>
      </c>
      <c r="C330">
        <v>5.7</v>
      </c>
    </row>
    <row r="331" spans="1:3">
      <c r="A331">
        <v>320</v>
      </c>
      <c r="B331">
        <v>84</v>
      </c>
      <c r="C331">
        <v>5.7</v>
      </c>
    </row>
    <row r="332" spans="1:3">
      <c r="A332">
        <v>321</v>
      </c>
      <c r="B332">
        <v>83</v>
      </c>
      <c r="C332">
        <v>5.6</v>
      </c>
    </row>
    <row r="333" spans="1:3">
      <c r="A333">
        <v>322</v>
      </c>
      <c r="B333">
        <v>84</v>
      </c>
      <c r="C333">
        <v>5.5</v>
      </c>
    </row>
    <row r="334" spans="1:3">
      <c r="A334">
        <v>323</v>
      </c>
      <c r="B334">
        <v>82</v>
      </c>
      <c r="C334">
        <v>5.6</v>
      </c>
    </row>
    <row r="335" spans="1:3">
      <c r="A335">
        <v>324</v>
      </c>
      <c r="B335">
        <v>88</v>
      </c>
      <c r="C335">
        <v>5.6</v>
      </c>
    </row>
    <row r="336" spans="1:3">
      <c r="A336">
        <v>325</v>
      </c>
      <c r="B336">
        <v>85</v>
      </c>
      <c r="C336">
        <v>5.7</v>
      </c>
    </row>
    <row r="337" spans="1:3">
      <c r="A337">
        <v>326</v>
      </c>
      <c r="B337">
        <v>82</v>
      </c>
      <c r="C337">
        <v>5.5</v>
      </c>
    </row>
    <row r="338" spans="1:3">
      <c r="A338">
        <v>327</v>
      </c>
      <c r="B338">
        <v>84</v>
      </c>
      <c r="C338">
        <v>5.5</v>
      </c>
    </row>
    <row r="339" spans="1:3">
      <c r="A339">
        <v>328</v>
      </c>
      <c r="B339">
        <v>82</v>
      </c>
      <c r="C339">
        <v>5.5</v>
      </c>
    </row>
    <row r="340" spans="1:3">
      <c r="A340">
        <v>329</v>
      </c>
      <c r="B340">
        <v>79</v>
      </c>
      <c r="C340">
        <v>5.6</v>
      </c>
    </row>
    <row r="341" spans="1:3">
      <c r="A341">
        <v>330</v>
      </c>
      <c r="B341">
        <v>85</v>
      </c>
      <c r="C341">
        <v>5.3</v>
      </c>
    </row>
    <row r="342" spans="1:3">
      <c r="A342">
        <v>331</v>
      </c>
      <c r="B342">
        <v>82</v>
      </c>
      <c r="C342">
        <v>5.5</v>
      </c>
    </row>
    <row r="343" spans="1:3">
      <c r="A343">
        <v>332</v>
      </c>
      <c r="B343">
        <v>81</v>
      </c>
      <c r="C343">
        <v>5.0999999999999996</v>
      </c>
    </row>
    <row r="344" spans="1:3">
      <c r="A344">
        <v>333</v>
      </c>
      <c r="B344">
        <v>84</v>
      </c>
      <c r="C344">
        <v>5.2</v>
      </c>
    </row>
    <row r="345" spans="1:3">
      <c r="A345">
        <v>334</v>
      </c>
      <c r="B345">
        <v>81</v>
      </c>
      <c r="C345">
        <v>5.2</v>
      </c>
    </row>
    <row r="346" spans="1:3">
      <c r="A346">
        <v>335</v>
      </c>
      <c r="B346">
        <v>87</v>
      </c>
      <c r="C346">
        <v>5.4</v>
      </c>
    </row>
    <row r="347" spans="1:3">
      <c r="A347">
        <v>336</v>
      </c>
      <c r="B347">
        <v>86</v>
      </c>
      <c r="C347">
        <v>5.4</v>
      </c>
    </row>
    <row r="348" spans="1:3">
      <c r="A348">
        <v>337</v>
      </c>
      <c r="B348">
        <v>85</v>
      </c>
      <c r="C348">
        <v>5.3</v>
      </c>
    </row>
    <row r="349" spans="1:3">
      <c r="A349">
        <v>338</v>
      </c>
      <c r="B349">
        <v>89</v>
      </c>
      <c r="C349">
        <v>5.3</v>
      </c>
    </row>
    <row r="350" spans="1:3">
      <c r="A350">
        <v>339</v>
      </c>
      <c r="B350">
        <v>87</v>
      </c>
      <c r="C350">
        <v>5.2</v>
      </c>
    </row>
    <row r="351" spans="1:3">
      <c r="A351">
        <v>340</v>
      </c>
      <c r="B351">
        <v>86</v>
      </c>
      <c r="C351">
        <v>5</v>
      </c>
    </row>
    <row r="352" spans="1:3">
      <c r="A352">
        <v>341</v>
      </c>
      <c r="B352">
        <v>82</v>
      </c>
      <c r="C352">
        <v>4.9000000000000004</v>
      </c>
    </row>
    <row r="353" spans="1:3">
      <c r="A353">
        <v>342</v>
      </c>
      <c r="B353">
        <v>88</v>
      </c>
      <c r="C353">
        <v>5</v>
      </c>
    </row>
    <row r="354" spans="1:3">
      <c r="A354">
        <v>343</v>
      </c>
      <c r="B354">
        <v>85</v>
      </c>
      <c r="C354">
        <v>4.8</v>
      </c>
    </row>
    <row r="355" spans="1:3">
      <c r="A355">
        <v>344</v>
      </c>
      <c r="B355">
        <v>86</v>
      </c>
      <c r="C355">
        <v>4.8</v>
      </c>
    </row>
    <row r="356" spans="1:3">
      <c r="A356">
        <v>345</v>
      </c>
      <c r="B356">
        <v>89</v>
      </c>
      <c r="C356">
        <v>4.9000000000000004</v>
      </c>
    </row>
    <row r="357" spans="1:3">
      <c r="A357">
        <v>346</v>
      </c>
      <c r="B357">
        <v>87</v>
      </c>
      <c r="C357">
        <v>4.7</v>
      </c>
    </row>
    <row r="358" spans="1:3">
      <c r="A358">
        <v>347</v>
      </c>
      <c r="B358">
        <v>93</v>
      </c>
      <c r="C358">
        <v>4.5999999999999996</v>
      </c>
    </row>
    <row r="359" spans="1:3">
      <c r="A359">
        <v>348</v>
      </c>
      <c r="B359">
        <v>87</v>
      </c>
      <c r="C359">
        <v>4.7</v>
      </c>
    </row>
    <row r="360" spans="1:3">
      <c r="A360">
        <v>349</v>
      </c>
      <c r="B360">
        <v>90</v>
      </c>
      <c r="C360">
        <v>4.7</v>
      </c>
    </row>
    <row r="361" spans="1:3">
      <c r="A361">
        <v>350</v>
      </c>
      <c r="B361">
        <v>92</v>
      </c>
      <c r="C361">
        <v>4.5999999999999996</v>
      </c>
    </row>
    <row r="362" spans="1:3">
      <c r="A362">
        <v>351</v>
      </c>
      <c r="B362">
        <v>92</v>
      </c>
      <c r="C362">
        <v>4.7</v>
      </c>
    </row>
    <row r="363" spans="1:3">
      <c r="A363">
        <v>352</v>
      </c>
      <c r="B363">
        <v>90</v>
      </c>
      <c r="C363">
        <v>4.3</v>
      </c>
    </row>
    <row r="364" spans="1:3">
      <c r="A364">
        <v>353</v>
      </c>
      <c r="B364">
        <v>91</v>
      </c>
      <c r="C364">
        <v>4.4000000000000004</v>
      </c>
    </row>
    <row r="365" spans="1:3">
      <c r="A365">
        <v>354</v>
      </c>
      <c r="B365">
        <v>89</v>
      </c>
      <c r="C365">
        <v>4.5</v>
      </c>
    </row>
    <row r="366" spans="1:3">
      <c r="A366">
        <v>355</v>
      </c>
      <c r="B366">
        <v>91</v>
      </c>
      <c r="C366">
        <v>4.5</v>
      </c>
    </row>
    <row r="367" spans="1:3">
      <c r="A367">
        <v>356</v>
      </c>
      <c r="B367">
        <v>90</v>
      </c>
      <c r="C367">
        <v>4.5</v>
      </c>
    </row>
    <row r="368" spans="1:3">
      <c r="A368">
        <v>357</v>
      </c>
      <c r="B368">
        <v>86</v>
      </c>
      <c r="C368">
        <v>4.5</v>
      </c>
    </row>
    <row r="369" spans="1:3">
      <c r="A369">
        <v>358</v>
      </c>
      <c r="B369">
        <v>85</v>
      </c>
      <c r="C369">
        <v>4.5</v>
      </c>
    </row>
    <row r="370" spans="1:3">
      <c r="A370">
        <v>359</v>
      </c>
      <c r="B370">
        <v>90</v>
      </c>
      <c r="C370">
        <v>4.4000000000000004</v>
      </c>
    </row>
    <row r="371" spans="1:3">
      <c r="A371">
        <v>360</v>
      </c>
      <c r="B371">
        <v>87</v>
      </c>
      <c r="C371">
        <v>4.4000000000000004</v>
      </c>
    </row>
    <row r="372" spans="1:3">
      <c r="A372">
        <v>361</v>
      </c>
      <c r="B372">
        <v>92</v>
      </c>
      <c r="C372">
        <v>4.3</v>
      </c>
    </row>
    <row r="373" spans="1:3">
      <c r="A373">
        <v>362</v>
      </c>
      <c r="B373">
        <v>92</v>
      </c>
      <c r="C373">
        <v>4.4000000000000004</v>
      </c>
    </row>
    <row r="374" spans="1:3">
      <c r="A374">
        <v>363</v>
      </c>
      <c r="B374">
        <v>88</v>
      </c>
      <c r="C374">
        <v>4.2</v>
      </c>
    </row>
    <row r="375" spans="1:3">
      <c r="A375">
        <v>364</v>
      </c>
      <c r="B375">
        <v>87</v>
      </c>
      <c r="C375">
        <v>4.3</v>
      </c>
    </row>
    <row r="376" spans="1:3">
      <c r="A376">
        <v>365</v>
      </c>
      <c r="B376">
        <v>89</v>
      </c>
      <c r="C376">
        <v>4.2</v>
      </c>
    </row>
    <row r="377" spans="1:3">
      <c r="A377">
        <v>366</v>
      </c>
      <c r="B377">
        <v>85</v>
      </c>
      <c r="C377">
        <v>4.3</v>
      </c>
    </row>
    <row r="378" spans="1:3">
      <c r="A378">
        <v>367</v>
      </c>
      <c r="B378">
        <v>85</v>
      </c>
      <c r="C378">
        <v>4.3</v>
      </c>
    </row>
    <row r="379" spans="1:3">
      <c r="A379">
        <v>368</v>
      </c>
      <c r="B379">
        <v>87</v>
      </c>
      <c r="C379">
        <v>4.2</v>
      </c>
    </row>
    <row r="380" spans="1:3">
      <c r="A380">
        <v>369</v>
      </c>
      <c r="B380">
        <v>83</v>
      </c>
      <c r="C380">
        <v>4.2</v>
      </c>
    </row>
    <row r="381" spans="1:3">
      <c r="A381">
        <v>370</v>
      </c>
      <c r="B381">
        <v>86</v>
      </c>
      <c r="C381">
        <v>4.0999999999999996</v>
      </c>
    </row>
    <row r="382" spans="1:3">
      <c r="A382">
        <v>371</v>
      </c>
      <c r="B382">
        <v>85</v>
      </c>
      <c r="C382">
        <v>4.0999999999999996</v>
      </c>
    </row>
    <row r="383" spans="1:3">
      <c r="A383">
        <v>372</v>
      </c>
      <c r="B383">
        <v>86</v>
      </c>
      <c r="C383">
        <v>4.0999999999999996</v>
      </c>
    </row>
    <row r="384" spans="1:3">
      <c r="A384">
        <v>373</v>
      </c>
      <c r="B384">
        <v>89</v>
      </c>
      <c r="C384">
        <v>4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C687-ACE6-4328-A288-E836F04A34C4}">
  <dimension ref="A1:D452"/>
  <sheetViews>
    <sheetView topLeftCell="A431" workbookViewId="0">
      <selection activeCell="D452" sqref="D452"/>
    </sheetView>
  </sheetViews>
  <sheetFormatPr defaultRowHeight="15"/>
  <sheetData>
    <row r="1" spans="1:4">
      <c r="A1" t="s">
        <v>1239</v>
      </c>
      <c r="B1" t="s">
        <v>1240</v>
      </c>
    </row>
    <row r="3" spans="1:4">
      <c r="A3" t="s">
        <v>1241</v>
      </c>
    </row>
    <row r="4" spans="1:4">
      <c r="A4" t="s">
        <v>1242</v>
      </c>
      <c r="B4" t="s">
        <v>1243</v>
      </c>
      <c r="C4" t="s">
        <v>63</v>
      </c>
      <c r="D4" t="s">
        <v>108</v>
      </c>
    </row>
    <row r="5" spans="1:4">
      <c r="A5">
        <v>358.02</v>
      </c>
      <c r="B5">
        <v>1</v>
      </c>
      <c r="C5">
        <v>1971</v>
      </c>
      <c r="D5">
        <v>1</v>
      </c>
    </row>
    <row r="6" spans="1:4">
      <c r="A6">
        <v>357.54500000000002</v>
      </c>
      <c r="B6">
        <v>2</v>
      </c>
      <c r="C6">
        <v>1971</v>
      </c>
      <c r="D6">
        <v>2</v>
      </c>
    </row>
    <row r="7" spans="1:4">
      <c r="A7">
        <v>357.51870000000002</v>
      </c>
      <c r="B7">
        <v>3</v>
      </c>
      <c r="C7">
        <v>1971</v>
      </c>
      <c r="D7">
        <v>3</v>
      </c>
    </row>
    <row r="8" spans="1:4">
      <c r="A8">
        <v>357.50319999999999</v>
      </c>
      <c r="B8">
        <v>4</v>
      </c>
      <c r="C8">
        <v>1971</v>
      </c>
      <c r="D8">
        <v>4</v>
      </c>
    </row>
    <row r="9" spans="1:4">
      <c r="A9">
        <v>357.41300000000001</v>
      </c>
      <c r="B9">
        <v>5</v>
      </c>
      <c r="C9">
        <v>1971</v>
      </c>
      <c r="D9">
        <v>5</v>
      </c>
    </row>
    <row r="10" spans="1:4">
      <c r="A10">
        <v>357.41180000000003</v>
      </c>
      <c r="B10">
        <v>6</v>
      </c>
      <c r="C10">
        <v>1971</v>
      </c>
      <c r="D10">
        <v>6</v>
      </c>
    </row>
    <row r="11" spans="1:4">
      <c r="A11">
        <v>357.40429999999998</v>
      </c>
      <c r="B11">
        <v>7</v>
      </c>
      <c r="C11">
        <v>1971</v>
      </c>
      <c r="D11">
        <v>7</v>
      </c>
    </row>
    <row r="12" spans="1:4">
      <c r="A12">
        <v>355.78</v>
      </c>
      <c r="B12">
        <v>8</v>
      </c>
      <c r="C12">
        <v>1971</v>
      </c>
      <c r="D12">
        <v>8</v>
      </c>
    </row>
    <row r="13" spans="1:4">
      <c r="A13">
        <v>338.02100000000002</v>
      </c>
      <c r="B13">
        <v>9</v>
      </c>
      <c r="C13">
        <v>1971</v>
      </c>
      <c r="D13">
        <v>9</v>
      </c>
    </row>
    <row r="14" spans="1:4">
      <c r="A14">
        <v>331.1105</v>
      </c>
      <c r="B14">
        <v>10</v>
      </c>
      <c r="C14">
        <v>1971</v>
      </c>
      <c r="D14">
        <v>10</v>
      </c>
    </row>
    <row r="15" spans="1:4">
      <c r="A15">
        <v>328.75200000000001</v>
      </c>
      <c r="B15">
        <v>11</v>
      </c>
      <c r="C15">
        <v>1971</v>
      </c>
      <c r="D15">
        <v>11</v>
      </c>
    </row>
    <row r="16" spans="1:4">
      <c r="A16">
        <v>320.0727</v>
      </c>
      <c r="B16">
        <v>12</v>
      </c>
      <c r="C16">
        <v>1971</v>
      </c>
      <c r="D16">
        <v>12</v>
      </c>
    </row>
    <row r="17" spans="1:4">
      <c r="A17">
        <v>312.72000000000003</v>
      </c>
      <c r="B17">
        <v>13</v>
      </c>
      <c r="C17">
        <v>1972</v>
      </c>
      <c r="D17">
        <v>1</v>
      </c>
    </row>
    <row r="18" spans="1:4">
      <c r="A18">
        <v>305.18700000000001</v>
      </c>
      <c r="B18">
        <v>14</v>
      </c>
      <c r="C18">
        <v>1972</v>
      </c>
      <c r="D18">
        <v>2</v>
      </c>
    </row>
    <row r="19" spans="1:4">
      <c r="A19">
        <v>302.53649999999999</v>
      </c>
      <c r="B19">
        <v>15</v>
      </c>
      <c r="C19">
        <v>1972</v>
      </c>
      <c r="D19">
        <v>3</v>
      </c>
    </row>
    <row r="20" spans="1:4">
      <c r="A20">
        <v>303.56049999999999</v>
      </c>
      <c r="B20">
        <v>16</v>
      </c>
      <c r="C20">
        <v>1972</v>
      </c>
      <c r="D20">
        <v>4</v>
      </c>
    </row>
    <row r="21" spans="1:4">
      <c r="A21">
        <v>304.37950000000001</v>
      </c>
      <c r="B21">
        <v>17</v>
      </c>
      <c r="C21">
        <v>1972</v>
      </c>
      <c r="D21">
        <v>5</v>
      </c>
    </row>
    <row r="22" spans="1:4">
      <c r="A22">
        <v>302.41449999999998</v>
      </c>
      <c r="B22">
        <v>18</v>
      </c>
      <c r="C22">
        <v>1972</v>
      </c>
      <c r="D22">
        <v>6</v>
      </c>
    </row>
    <row r="23" spans="1:4">
      <c r="A23">
        <v>301.03050000000002</v>
      </c>
      <c r="B23">
        <v>19</v>
      </c>
      <c r="C23">
        <v>1972</v>
      </c>
      <c r="D23">
        <v>7</v>
      </c>
    </row>
    <row r="24" spans="1:4">
      <c r="A24">
        <v>301.16090000000003</v>
      </c>
      <c r="B24">
        <v>20</v>
      </c>
      <c r="C24">
        <v>1972</v>
      </c>
      <c r="D24">
        <v>8</v>
      </c>
    </row>
    <row r="25" spans="1:4">
      <c r="A25">
        <v>301.11900000000003</v>
      </c>
      <c r="B25">
        <v>21</v>
      </c>
      <c r="C25">
        <v>1972</v>
      </c>
      <c r="D25">
        <v>9</v>
      </c>
    </row>
    <row r="26" spans="1:4">
      <c r="A26">
        <v>301.01100000000002</v>
      </c>
      <c r="B26">
        <v>22</v>
      </c>
      <c r="C26">
        <v>1972</v>
      </c>
      <c r="D26">
        <v>10</v>
      </c>
    </row>
    <row r="27" spans="1:4">
      <c r="A27">
        <v>300.98849999999999</v>
      </c>
      <c r="B27">
        <v>23</v>
      </c>
      <c r="C27">
        <v>1972</v>
      </c>
      <c r="D27">
        <v>11</v>
      </c>
    </row>
    <row r="28" spans="1:4">
      <c r="A28">
        <v>301.2405</v>
      </c>
      <c r="B28">
        <v>24</v>
      </c>
      <c r="C28">
        <v>1972</v>
      </c>
      <c r="D28">
        <v>12</v>
      </c>
    </row>
    <row r="29" spans="1:4">
      <c r="A29">
        <v>301.78820000000002</v>
      </c>
      <c r="B29">
        <v>25</v>
      </c>
      <c r="C29">
        <v>1973</v>
      </c>
      <c r="D29">
        <v>1</v>
      </c>
    </row>
    <row r="30" spans="1:4">
      <c r="A30">
        <v>278.42059999999998</v>
      </c>
      <c r="B30">
        <v>26</v>
      </c>
      <c r="C30">
        <v>1973</v>
      </c>
      <c r="D30">
        <v>2</v>
      </c>
    </row>
    <row r="31" spans="1:4">
      <c r="A31">
        <v>261.90140000000002</v>
      </c>
      <c r="B31">
        <v>27</v>
      </c>
      <c r="C31">
        <v>1973</v>
      </c>
      <c r="D31">
        <v>3</v>
      </c>
    </row>
    <row r="32" spans="1:4">
      <c r="A32">
        <v>265.4914</v>
      </c>
      <c r="B32">
        <v>28</v>
      </c>
      <c r="C32">
        <v>1973</v>
      </c>
      <c r="D32">
        <v>4</v>
      </c>
    </row>
    <row r="33" spans="1:4">
      <c r="A33">
        <v>264.65050000000002</v>
      </c>
      <c r="B33">
        <v>29</v>
      </c>
      <c r="C33">
        <v>1973</v>
      </c>
      <c r="D33">
        <v>5</v>
      </c>
    </row>
    <row r="34" spans="1:4">
      <c r="A34">
        <v>264.49810000000002</v>
      </c>
      <c r="B34">
        <v>30</v>
      </c>
      <c r="C34">
        <v>1973</v>
      </c>
      <c r="D34">
        <v>6</v>
      </c>
    </row>
    <row r="35" spans="1:4">
      <c r="A35">
        <v>264.55380000000002</v>
      </c>
      <c r="B35">
        <v>31</v>
      </c>
      <c r="C35">
        <v>1973</v>
      </c>
      <c r="D35">
        <v>7</v>
      </c>
    </row>
    <row r="36" spans="1:4">
      <c r="A36">
        <v>265.22000000000003</v>
      </c>
      <c r="B36">
        <v>32</v>
      </c>
      <c r="C36">
        <v>1973</v>
      </c>
      <c r="D36">
        <v>8</v>
      </c>
    </row>
    <row r="37" spans="1:4">
      <c r="A37">
        <v>265.47469999999998</v>
      </c>
      <c r="B37">
        <v>33</v>
      </c>
      <c r="C37">
        <v>1973</v>
      </c>
      <c r="D37">
        <v>9</v>
      </c>
    </row>
    <row r="38" spans="1:4">
      <c r="A38">
        <v>266.33479999999997</v>
      </c>
      <c r="B38">
        <v>34</v>
      </c>
      <c r="C38">
        <v>1973</v>
      </c>
      <c r="D38">
        <v>10</v>
      </c>
    </row>
    <row r="39" spans="1:4">
      <c r="A39">
        <v>278.26249999999999</v>
      </c>
      <c r="B39">
        <v>35</v>
      </c>
      <c r="C39">
        <v>1973</v>
      </c>
      <c r="D39">
        <v>11</v>
      </c>
    </row>
    <row r="40" spans="1:4">
      <c r="A40">
        <v>280.17750000000001</v>
      </c>
      <c r="B40">
        <v>36</v>
      </c>
      <c r="C40">
        <v>1973</v>
      </c>
      <c r="D40">
        <v>12</v>
      </c>
    </row>
    <row r="41" spans="1:4">
      <c r="A41">
        <v>298.1336</v>
      </c>
      <c r="B41">
        <v>37</v>
      </c>
      <c r="C41">
        <v>1974</v>
      </c>
      <c r="D41">
        <v>1</v>
      </c>
    </row>
    <row r="42" spans="1:4">
      <c r="A42">
        <v>291.0872</v>
      </c>
      <c r="B42">
        <v>38</v>
      </c>
      <c r="C42">
        <v>1974</v>
      </c>
      <c r="D42">
        <v>2</v>
      </c>
    </row>
    <row r="43" spans="1:4">
      <c r="A43">
        <v>282.16480000000001</v>
      </c>
      <c r="B43">
        <v>39</v>
      </c>
      <c r="C43">
        <v>1974</v>
      </c>
      <c r="D43">
        <v>3</v>
      </c>
    </row>
    <row r="44" spans="1:4">
      <c r="A44">
        <v>277.77409999999998</v>
      </c>
      <c r="B44">
        <v>40</v>
      </c>
      <c r="C44">
        <v>1974</v>
      </c>
      <c r="D44">
        <v>4</v>
      </c>
    </row>
    <row r="45" spans="1:4">
      <c r="A45">
        <v>278.96640000000002</v>
      </c>
      <c r="B45">
        <v>41</v>
      </c>
      <c r="C45">
        <v>1974</v>
      </c>
      <c r="D45">
        <v>5</v>
      </c>
    </row>
    <row r="46" spans="1:4">
      <c r="A46">
        <v>282.97000000000003</v>
      </c>
      <c r="B46">
        <v>42</v>
      </c>
      <c r="C46">
        <v>1974</v>
      </c>
      <c r="D46">
        <v>6</v>
      </c>
    </row>
    <row r="47" spans="1:4">
      <c r="A47">
        <v>290.98</v>
      </c>
      <c r="B47">
        <v>43</v>
      </c>
      <c r="C47">
        <v>1974</v>
      </c>
      <c r="D47">
        <v>7</v>
      </c>
    </row>
    <row r="48" spans="1:4">
      <c r="A48">
        <v>302.28359999999998</v>
      </c>
      <c r="B48">
        <v>44</v>
      </c>
      <c r="C48">
        <v>1974</v>
      </c>
      <c r="D48">
        <v>8</v>
      </c>
    </row>
    <row r="49" spans="1:4">
      <c r="A49">
        <v>299.084</v>
      </c>
      <c r="B49">
        <v>45</v>
      </c>
      <c r="C49">
        <v>1974</v>
      </c>
      <c r="D49">
        <v>9</v>
      </c>
    </row>
    <row r="50" spans="1:4">
      <c r="A50">
        <v>299.36450000000002</v>
      </c>
      <c r="B50">
        <v>46</v>
      </c>
      <c r="C50">
        <v>1974</v>
      </c>
      <c r="D50">
        <v>10</v>
      </c>
    </row>
    <row r="51" spans="1:4">
      <c r="A51">
        <v>300.07499999999999</v>
      </c>
      <c r="B51">
        <v>47</v>
      </c>
      <c r="C51">
        <v>1974</v>
      </c>
      <c r="D51">
        <v>11</v>
      </c>
    </row>
    <row r="52" spans="1:4">
      <c r="A52">
        <v>300.41140000000001</v>
      </c>
      <c r="B52">
        <v>48</v>
      </c>
      <c r="C52">
        <v>1974</v>
      </c>
      <c r="D52">
        <v>12</v>
      </c>
    </row>
    <row r="53" spans="1:4">
      <c r="A53">
        <v>299.68450000000001</v>
      </c>
      <c r="B53">
        <v>49</v>
      </c>
      <c r="C53">
        <v>1975</v>
      </c>
      <c r="D53">
        <v>1</v>
      </c>
    </row>
    <row r="54" spans="1:4">
      <c r="A54">
        <v>291.6583</v>
      </c>
      <c r="B54">
        <v>50</v>
      </c>
      <c r="C54">
        <v>1975</v>
      </c>
      <c r="D54">
        <v>2</v>
      </c>
    </row>
    <row r="55" spans="1:4">
      <c r="A55">
        <v>287.9486</v>
      </c>
      <c r="B55">
        <v>51</v>
      </c>
      <c r="C55">
        <v>1975</v>
      </c>
      <c r="D55">
        <v>3</v>
      </c>
    </row>
    <row r="56" spans="1:4">
      <c r="A56">
        <v>292.1968</v>
      </c>
      <c r="B56">
        <v>52</v>
      </c>
      <c r="C56">
        <v>1975</v>
      </c>
      <c r="D56">
        <v>4</v>
      </c>
    </row>
    <row r="57" spans="1:4">
      <c r="A57">
        <v>291.43049999999999</v>
      </c>
      <c r="B57">
        <v>53</v>
      </c>
      <c r="C57">
        <v>1975</v>
      </c>
      <c r="D57">
        <v>5</v>
      </c>
    </row>
    <row r="58" spans="1:4">
      <c r="A58">
        <v>293.46620000000001</v>
      </c>
      <c r="B58">
        <v>54</v>
      </c>
      <c r="C58">
        <v>1975</v>
      </c>
      <c r="D58">
        <v>6</v>
      </c>
    </row>
    <row r="59" spans="1:4">
      <c r="A59">
        <v>296.3741</v>
      </c>
      <c r="B59">
        <v>55</v>
      </c>
      <c r="C59">
        <v>1975</v>
      </c>
      <c r="D59">
        <v>7</v>
      </c>
    </row>
    <row r="60" spans="1:4">
      <c r="A60">
        <v>297.97620000000001</v>
      </c>
      <c r="B60">
        <v>56</v>
      </c>
      <c r="C60">
        <v>1975</v>
      </c>
      <c r="D60">
        <v>8</v>
      </c>
    </row>
    <row r="61" spans="1:4">
      <c r="A61">
        <v>299.90899999999999</v>
      </c>
      <c r="B61">
        <v>57</v>
      </c>
      <c r="C61">
        <v>1975</v>
      </c>
      <c r="D61">
        <v>9</v>
      </c>
    </row>
    <row r="62" spans="1:4">
      <c r="A62">
        <v>302.33640000000003</v>
      </c>
      <c r="B62">
        <v>58</v>
      </c>
      <c r="C62">
        <v>1975</v>
      </c>
      <c r="D62">
        <v>10</v>
      </c>
    </row>
    <row r="63" spans="1:4">
      <c r="A63">
        <v>302.5453</v>
      </c>
      <c r="B63">
        <v>59</v>
      </c>
      <c r="C63">
        <v>1975</v>
      </c>
      <c r="D63">
        <v>11</v>
      </c>
    </row>
    <row r="64" spans="1:4">
      <c r="A64">
        <v>305.67</v>
      </c>
      <c r="B64">
        <v>60</v>
      </c>
      <c r="C64">
        <v>1975</v>
      </c>
      <c r="D64">
        <v>12</v>
      </c>
    </row>
    <row r="65" spans="1:4">
      <c r="A65">
        <v>304.63569999999999</v>
      </c>
      <c r="B65">
        <v>61</v>
      </c>
      <c r="C65">
        <v>1976</v>
      </c>
      <c r="D65">
        <v>1</v>
      </c>
    </row>
    <row r="66" spans="1:4">
      <c r="A66">
        <v>301.59440000000001</v>
      </c>
      <c r="B66">
        <v>62</v>
      </c>
      <c r="C66">
        <v>1976</v>
      </c>
      <c r="D66">
        <v>2</v>
      </c>
    </row>
    <row r="67" spans="1:4">
      <c r="A67">
        <v>300.51830000000001</v>
      </c>
      <c r="B67">
        <v>63</v>
      </c>
      <c r="C67">
        <v>1976</v>
      </c>
      <c r="D67">
        <v>3</v>
      </c>
    </row>
    <row r="68" spans="1:4">
      <c r="A68">
        <v>299.10860000000002</v>
      </c>
      <c r="B68">
        <v>64</v>
      </c>
      <c r="C68">
        <v>1976</v>
      </c>
      <c r="D68">
        <v>4</v>
      </c>
    </row>
    <row r="69" spans="1:4">
      <c r="A69">
        <v>299.00400000000002</v>
      </c>
      <c r="B69">
        <v>65</v>
      </c>
      <c r="C69">
        <v>1976</v>
      </c>
      <c r="D69">
        <v>5</v>
      </c>
    </row>
    <row r="70" spans="1:4">
      <c r="A70">
        <v>299.1909</v>
      </c>
      <c r="B70">
        <v>66</v>
      </c>
      <c r="C70">
        <v>1976</v>
      </c>
      <c r="D70">
        <v>6</v>
      </c>
    </row>
    <row r="71" spans="1:4">
      <c r="A71">
        <v>294.64100000000002</v>
      </c>
      <c r="B71">
        <v>67</v>
      </c>
      <c r="C71">
        <v>1976</v>
      </c>
      <c r="D71">
        <v>7</v>
      </c>
    </row>
    <row r="72" spans="1:4">
      <c r="A72">
        <v>290.6259</v>
      </c>
      <c r="B72">
        <v>68</v>
      </c>
      <c r="C72">
        <v>1976</v>
      </c>
      <c r="D72">
        <v>8</v>
      </c>
    </row>
    <row r="73" spans="1:4">
      <c r="A73">
        <v>287.36099999999999</v>
      </c>
      <c r="B73">
        <v>69</v>
      </c>
      <c r="C73">
        <v>1976</v>
      </c>
      <c r="D73">
        <v>9</v>
      </c>
    </row>
    <row r="74" spans="1:4">
      <c r="A74">
        <v>291.18900000000002</v>
      </c>
      <c r="B74">
        <v>70</v>
      </c>
      <c r="C74">
        <v>1976</v>
      </c>
      <c r="D74">
        <v>10</v>
      </c>
    </row>
    <row r="75" spans="1:4">
      <c r="A75">
        <v>295.1653</v>
      </c>
      <c r="B75">
        <v>71</v>
      </c>
      <c r="C75">
        <v>1976</v>
      </c>
      <c r="D75">
        <v>11</v>
      </c>
    </row>
    <row r="76" spans="1:4">
      <c r="A76">
        <v>294.70170000000002</v>
      </c>
      <c r="B76">
        <v>72</v>
      </c>
      <c r="C76">
        <v>1976</v>
      </c>
      <c r="D76">
        <v>12</v>
      </c>
    </row>
    <row r="77" spans="1:4">
      <c r="A77">
        <v>291.05239999999998</v>
      </c>
      <c r="B77">
        <v>73</v>
      </c>
      <c r="C77">
        <v>1977</v>
      </c>
      <c r="D77">
        <v>1</v>
      </c>
    </row>
    <row r="78" spans="1:4">
      <c r="A78">
        <v>285.02210000000002</v>
      </c>
      <c r="B78">
        <v>74</v>
      </c>
      <c r="C78">
        <v>1977</v>
      </c>
      <c r="D78">
        <v>2</v>
      </c>
    </row>
    <row r="79" spans="1:4">
      <c r="A79">
        <v>280.22649999999999</v>
      </c>
      <c r="B79">
        <v>75</v>
      </c>
      <c r="C79">
        <v>1977</v>
      </c>
      <c r="D79">
        <v>3</v>
      </c>
    </row>
    <row r="80" spans="1:4">
      <c r="A80">
        <v>275.20710000000003</v>
      </c>
      <c r="B80">
        <v>76</v>
      </c>
      <c r="C80">
        <v>1977</v>
      </c>
      <c r="D80">
        <v>4</v>
      </c>
    </row>
    <row r="81" spans="1:4">
      <c r="A81">
        <v>277.42619999999999</v>
      </c>
      <c r="B81">
        <v>77</v>
      </c>
      <c r="C81">
        <v>1977</v>
      </c>
      <c r="D81">
        <v>5</v>
      </c>
    </row>
    <row r="82" spans="1:4">
      <c r="A82">
        <v>272.86090000000002</v>
      </c>
      <c r="B82">
        <v>78</v>
      </c>
      <c r="C82">
        <v>1977</v>
      </c>
      <c r="D82">
        <v>6</v>
      </c>
    </row>
    <row r="83" spans="1:4">
      <c r="A83">
        <v>264.86320000000001</v>
      </c>
      <c r="B83">
        <v>79</v>
      </c>
      <c r="C83">
        <v>1977</v>
      </c>
      <c r="D83">
        <v>7</v>
      </c>
    </row>
    <row r="84" spans="1:4">
      <c r="A84">
        <v>266.67739999999998</v>
      </c>
      <c r="B84">
        <v>80</v>
      </c>
      <c r="C84">
        <v>1977</v>
      </c>
      <c r="D84">
        <v>8</v>
      </c>
    </row>
    <row r="85" spans="1:4">
      <c r="A85">
        <v>266.77</v>
      </c>
      <c r="B85">
        <v>81</v>
      </c>
      <c r="C85">
        <v>1977</v>
      </c>
      <c r="D85">
        <v>9</v>
      </c>
    </row>
    <row r="86" spans="1:4">
      <c r="A86">
        <v>254.74449999999999</v>
      </c>
      <c r="B86">
        <v>82</v>
      </c>
      <c r="C86">
        <v>1977</v>
      </c>
      <c r="D86">
        <v>10</v>
      </c>
    </row>
    <row r="87" spans="1:4">
      <c r="A87">
        <v>244.70259999999999</v>
      </c>
      <c r="B87">
        <v>83</v>
      </c>
      <c r="C87">
        <v>1977</v>
      </c>
      <c r="D87">
        <v>11</v>
      </c>
    </row>
    <row r="88" spans="1:4">
      <c r="A88">
        <v>241.02289999999999</v>
      </c>
      <c r="B88">
        <v>84</v>
      </c>
      <c r="C88">
        <v>1977</v>
      </c>
      <c r="D88">
        <v>12</v>
      </c>
    </row>
    <row r="89" spans="1:4">
      <c r="A89">
        <v>241.08099999999999</v>
      </c>
      <c r="B89">
        <v>85</v>
      </c>
      <c r="C89">
        <v>1978</v>
      </c>
      <c r="D89">
        <v>1</v>
      </c>
    </row>
    <row r="90" spans="1:4">
      <c r="A90">
        <v>240.37219999999999</v>
      </c>
      <c r="B90">
        <v>86</v>
      </c>
      <c r="C90">
        <v>1978</v>
      </c>
      <c r="D90">
        <v>2</v>
      </c>
    </row>
    <row r="91" spans="1:4">
      <c r="A91">
        <v>231.85740000000001</v>
      </c>
      <c r="B91">
        <v>87</v>
      </c>
      <c r="C91">
        <v>1978</v>
      </c>
      <c r="D91">
        <v>3</v>
      </c>
    </row>
    <row r="92" spans="1:4">
      <c r="A92">
        <v>221.857</v>
      </c>
      <c r="B92">
        <v>88</v>
      </c>
      <c r="C92">
        <v>1978</v>
      </c>
      <c r="D92">
        <v>4</v>
      </c>
    </row>
    <row r="93" spans="1:4">
      <c r="A93">
        <v>226.17859999999999</v>
      </c>
      <c r="B93">
        <v>89</v>
      </c>
      <c r="C93">
        <v>1978</v>
      </c>
      <c r="D93">
        <v>5</v>
      </c>
    </row>
    <row r="94" spans="1:4">
      <c r="A94">
        <v>214.10640000000001</v>
      </c>
      <c r="B94">
        <v>90</v>
      </c>
      <c r="C94">
        <v>1978</v>
      </c>
      <c r="D94">
        <v>6</v>
      </c>
    </row>
    <row r="95" spans="1:4">
      <c r="A95">
        <v>199.69550000000001</v>
      </c>
      <c r="B95">
        <v>91</v>
      </c>
      <c r="C95">
        <v>1978</v>
      </c>
      <c r="D95">
        <v>7</v>
      </c>
    </row>
    <row r="96" spans="1:4">
      <c r="A96">
        <v>188.70959999999999</v>
      </c>
      <c r="B96">
        <v>92</v>
      </c>
      <c r="C96">
        <v>1978</v>
      </c>
      <c r="D96">
        <v>8</v>
      </c>
    </row>
    <row r="97" spans="1:4">
      <c r="A97">
        <v>189.9195</v>
      </c>
      <c r="B97">
        <v>93</v>
      </c>
      <c r="C97">
        <v>1978</v>
      </c>
      <c r="D97">
        <v>9</v>
      </c>
    </row>
    <row r="98" spans="1:4">
      <c r="A98">
        <v>183.631</v>
      </c>
      <c r="B98">
        <v>94</v>
      </c>
      <c r="C98">
        <v>1978</v>
      </c>
      <c r="D98">
        <v>10</v>
      </c>
    </row>
    <row r="99" spans="1:4">
      <c r="A99">
        <v>192.14250000000001</v>
      </c>
      <c r="B99">
        <v>95</v>
      </c>
      <c r="C99">
        <v>1978</v>
      </c>
      <c r="D99">
        <v>11</v>
      </c>
    </row>
    <row r="100" spans="1:4">
      <c r="A100">
        <v>195.95500000000001</v>
      </c>
      <c r="B100">
        <v>96</v>
      </c>
      <c r="C100">
        <v>1978</v>
      </c>
      <c r="D100">
        <v>12</v>
      </c>
    </row>
    <row r="101" spans="1:4">
      <c r="A101">
        <v>197.755</v>
      </c>
      <c r="B101">
        <v>97</v>
      </c>
      <c r="C101">
        <v>1979</v>
      </c>
      <c r="D101">
        <v>1</v>
      </c>
    </row>
    <row r="102" spans="1:4">
      <c r="A102">
        <v>200.50720000000001</v>
      </c>
      <c r="B102">
        <v>98</v>
      </c>
      <c r="C102">
        <v>1979</v>
      </c>
      <c r="D102">
        <v>2</v>
      </c>
    </row>
    <row r="103" spans="1:4">
      <c r="A103">
        <v>206.3236</v>
      </c>
      <c r="B103">
        <v>99</v>
      </c>
      <c r="C103">
        <v>1979</v>
      </c>
      <c r="D103">
        <v>3</v>
      </c>
    </row>
    <row r="104" spans="1:4">
      <c r="A104">
        <v>216.2852</v>
      </c>
      <c r="B104">
        <v>100</v>
      </c>
      <c r="C104">
        <v>1979</v>
      </c>
      <c r="D104">
        <v>4</v>
      </c>
    </row>
    <row r="105" spans="1:4">
      <c r="A105">
        <v>218.41409999999999</v>
      </c>
      <c r="B105">
        <v>101</v>
      </c>
      <c r="C105">
        <v>1979</v>
      </c>
      <c r="D105">
        <v>5</v>
      </c>
    </row>
    <row r="106" spans="1:4">
      <c r="A106">
        <v>218.5967</v>
      </c>
      <c r="B106">
        <v>102</v>
      </c>
      <c r="C106">
        <v>1979</v>
      </c>
      <c r="D106">
        <v>6</v>
      </c>
    </row>
    <row r="107" spans="1:4">
      <c r="A107">
        <v>216.51</v>
      </c>
      <c r="B107">
        <v>103</v>
      </c>
      <c r="C107">
        <v>1979</v>
      </c>
      <c r="D107">
        <v>7</v>
      </c>
    </row>
    <row r="108" spans="1:4">
      <c r="A108">
        <v>217.92570000000001</v>
      </c>
      <c r="B108">
        <v>104</v>
      </c>
      <c r="C108">
        <v>1979</v>
      </c>
      <c r="D108">
        <v>8</v>
      </c>
    </row>
    <row r="109" spans="1:4">
      <c r="A109">
        <v>222.41370000000001</v>
      </c>
      <c r="B109">
        <v>105</v>
      </c>
      <c r="C109">
        <v>1979</v>
      </c>
      <c r="D109">
        <v>9</v>
      </c>
    </row>
    <row r="110" spans="1:4">
      <c r="A110">
        <v>230.4845</v>
      </c>
      <c r="B110">
        <v>106</v>
      </c>
      <c r="C110">
        <v>1979</v>
      </c>
      <c r="D110">
        <v>10</v>
      </c>
    </row>
    <row r="111" spans="1:4">
      <c r="A111">
        <v>244.98419999999999</v>
      </c>
      <c r="B111">
        <v>107</v>
      </c>
      <c r="C111">
        <v>1979</v>
      </c>
      <c r="D111">
        <v>11</v>
      </c>
    </row>
    <row r="112" spans="1:4">
      <c r="A112">
        <v>240.37450000000001</v>
      </c>
      <c r="B112">
        <v>108</v>
      </c>
      <c r="C112">
        <v>1979</v>
      </c>
      <c r="D112">
        <v>12</v>
      </c>
    </row>
    <row r="113" spans="1:4">
      <c r="A113">
        <v>237.8886</v>
      </c>
      <c r="B113">
        <v>109</v>
      </c>
      <c r="C113">
        <v>1980</v>
      </c>
      <c r="D113">
        <v>1</v>
      </c>
    </row>
    <row r="114" spans="1:4">
      <c r="A114">
        <v>244.35</v>
      </c>
      <c r="B114">
        <v>110</v>
      </c>
      <c r="C114">
        <v>1980</v>
      </c>
      <c r="D114">
        <v>2</v>
      </c>
    </row>
    <row r="115" spans="1:4">
      <c r="A115">
        <v>248.4786</v>
      </c>
      <c r="B115">
        <v>111</v>
      </c>
      <c r="C115">
        <v>1980</v>
      </c>
      <c r="D115">
        <v>3</v>
      </c>
    </row>
    <row r="116" spans="1:4">
      <c r="A116">
        <v>250.27500000000001</v>
      </c>
      <c r="B116">
        <v>112</v>
      </c>
      <c r="C116">
        <v>1980</v>
      </c>
      <c r="D116">
        <v>4</v>
      </c>
    </row>
    <row r="117" spans="1:4">
      <c r="A117">
        <v>228.62860000000001</v>
      </c>
      <c r="B117">
        <v>113</v>
      </c>
      <c r="C117">
        <v>1980</v>
      </c>
      <c r="D117">
        <v>5</v>
      </c>
    </row>
    <row r="118" spans="1:4">
      <c r="A118">
        <v>217.91759999999999</v>
      </c>
      <c r="B118">
        <v>114</v>
      </c>
      <c r="C118">
        <v>1980</v>
      </c>
      <c r="D118">
        <v>6</v>
      </c>
    </row>
    <row r="119" spans="1:4">
      <c r="A119">
        <v>221.13640000000001</v>
      </c>
      <c r="B119">
        <v>115</v>
      </c>
      <c r="C119">
        <v>1980</v>
      </c>
      <c r="D119">
        <v>7</v>
      </c>
    </row>
    <row r="120" spans="1:4">
      <c r="A120">
        <v>223.91380000000001</v>
      </c>
      <c r="B120">
        <v>116</v>
      </c>
      <c r="C120">
        <v>1980</v>
      </c>
      <c r="D120">
        <v>8</v>
      </c>
    </row>
    <row r="121" spans="1:4">
      <c r="A121">
        <v>214.41669999999999</v>
      </c>
      <c r="B121">
        <v>117</v>
      </c>
      <c r="C121">
        <v>1980</v>
      </c>
      <c r="D121">
        <v>9</v>
      </c>
    </row>
    <row r="122" spans="1:4">
      <c r="A122">
        <v>209.3227</v>
      </c>
      <c r="B122">
        <v>118</v>
      </c>
      <c r="C122">
        <v>1980</v>
      </c>
      <c r="D122">
        <v>10</v>
      </c>
    </row>
    <row r="123" spans="1:4">
      <c r="A123">
        <v>213.10589999999999</v>
      </c>
      <c r="B123">
        <v>119</v>
      </c>
      <c r="C123">
        <v>1980</v>
      </c>
      <c r="D123">
        <v>11</v>
      </c>
    </row>
    <row r="124" spans="1:4">
      <c r="A124">
        <v>209.48859999999999</v>
      </c>
      <c r="B124">
        <v>120</v>
      </c>
      <c r="C124">
        <v>1980</v>
      </c>
      <c r="D124">
        <v>12</v>
      </c>
    </row>
    <row r="125" spans="1:4">
      <c r="A125">
        <v>202.36670000000001</v>
      </c>
      <c r="B125">
        <v>121</v>
      </c>
      <c r="C125">
        <v>1981</v>
      </c>
      <c r="D125">
        <v>1</v>
      </c>
    </row>
    <row r="126" spans="1:4">
      <c r="A126">
        <v>205.7167</v>
      </c>
      <c r="B126">
        <v>122</v>
      </c>
      <c r="C126">
        <v>1981</v>
      </c>
      <c r="D126">
        <v>2</v>
      </c>
    </row>
    <row r="127" spans="1:4">
      <c r="A127">
        <v>208.79179999999999</v>
      </c>
      <c r="B127">
        <v>123</v>
      </c>
      <c r="C127">
        <v>1981</v>
      </c>
      <c r="D127">
        <v>3</v>
      </c>
    </row>
    <row r="128" spans="1:4">
      <c r="A128">
        <v>214.9759</v>
      </c>
      <c r="B128">
        <v>124</v>
      </c>
      <c r="C128">
        <v>1981</v>
      </c>
      <c r="D128">
        <v>4</v>
      </c>
    </row>
    <row r="129" spans="1:4">
      <c r="A129">
        <v>220.6285</v>
      </c>
      <c r="B129">
        <v>125</v>
      </c>
      <c r="C129">
        <v>1981</v>
      </c>
      <c r="D129">
        <v>5</v>
      </c>
    </row>
    <row r="130" spans="1:4">
      <c r="A130">
        <v>224.18049999999999</v>
      </c>
      <c r="B130">
        <v>126</v>
      </c>
      <c r="C130">
        <v>1981</v>
      </c>
      <c r="D130">
        <v>6</v>
      </c>
    </row>
    <row r="131" spans="1:4">
      <c r="A131">
        <v>232.3261</v>
      </c>
      <c r="B131">
        <v>127</v>
      </c>
      <c r="C131">
        <v>1981</v>
      </c>
      <c r="D131">
        <v>7</v>
      </c>
    </row>
    <row r="132" spans="1:4">
      <c r="A132">
        <v>233.3262</v>
      </c>
      <c r="B132">
        <v>128</v>
      </c>
      <c r="C132">
        <v>1981</v>
      </c>
      <c r="D132">
        <v>8</v>
      </c>
    </row>
    <row r="133" spans="1:4">
      <c r="A133">
        <v>229.48099999999999</v>
      </c>
      <c r="B133">
        <v>129</v>
      </c>
      <c r="C133">
        <v>1981</v>
      </c>
      <c r="D133">
        <v>9</v>
      </c>
    </row>
    <row r="134" spans="1:4">
      <c r="A134">
        <v>231.51900000000001</v>
      </c>
      <c r="B134">
        <v>130</v>
      </c>
      <c r="C134">
        <v>1981</v>
      </c>
      <c r="D134">
        <v>10</v>
      </c>
    </row>
    <row r="135" spans="1:4">
      <c r="A135">
        <v>223.1267</v>
      </c>
      <c r="B135">
        <v>131</v>
      </c>
      <c r="C135">
        <v>1981</v>
      </c>
      <c r="D135">
        <v>11</v>
      </c>
    </row>
    <row r="136" spans="1:4">
      <c r="A136">
        <v>218.9545</v>
      </c>
      <c r="B136">
        <v>132</v>
      </c>
      <c r="C136">
        <v>1981</v>
      </c>
      <c r="D136">
        <v>12</v>
      </c>
    </row>
    <row r="137" spans="1:4">
      <c r="A137">
        <v>224.80500000000001</v>
      </c>
      <c r="B137">
        <v>133</v>
      </c>
      <c r="C137">
        <v>1982</v>
      </c>
      <c r="D137">
        <v>1</v>
      </c>
    </row>
    <row r="138" spans="1:4">
      <c r="A138">
        <v>235.3056</v>
      </c>
      <c r="B138">
        <v>134</v>
      </c>
      <c r="C138">
        <v>1982</v>
      </c>
      <c r="D138">
        <v>2</v>
      </c>
    </row>
    <row r="139" spans="1:4">
      <c r="A139">
        <v>241.22829999999999</v>
      </c>
      <c r="B139">
        <v>135</v>
      </c>
      <c r="C139">
        <v>1982</v>
      </c>
      <c r="D139">
        <v>3</v>
      </c>
    </row>
    <row r="140" spans="1:4">
      <c r="A140">
        <v>244.10679999999999</v>
      </c>
      <c r="B140">
        <v>136</v>
      </c>
      <c r="C140">
        <v>1982</v>
      </c>
      <c r="D140">
        <v>4</v>
      </c>
    </row>
    <row r="141" spans="1:4">
      <c r="A141">
        <v>236.96350000000001</v>
      </c>
      <c r="B141">
        <v>137</v>
      </c>
      <c r="C141">
        <v>1982</v>
      </c>
      <c r="D141">
        <v>5</v>
      </c>
    </row>
    <row r="142" spans="1:4">
      <c r="A142">
        <v>251.1977</v>
      </c>
      <c r="B142">
        <v>138</v>
      </c>
      <c r="C142">
        <v>1982</v>
      </c>
      <c r="D142">
        <v>6</v>
      </c>
    </row>
    <row r="143" spans="1:4">
      <c r="A143">
        <v>255.03100000000001</v>
      </c>
      <c r="B143">
        <v>139</v>
      </c>
      <c r="C143">
        <v>1982</v>
      </c>
      <c r="D143">
        <v>7</v>
      </c>
    </row>
    <row r="144" spans="1:4">
      <c r="A144">
        <v>259.0455</v>
      </c>
      <c r="B144">
        <v>140</v>
      </c>
      <c r="C144">
        <v>1982</v>
      </c>
      <c r="D144">
        <v>8</v>
      </c>
    </row>
    <row r="145" spans="1:4">
      <c r="A145">
        <v>263.28570000000002</v>
      </c>
      <c r="B145">
        <v>141</v>
      </c>
      <c r="C145">
        <v>1982</v>
      </c>
      <c r="D145">
        <v>9</v>
      </c>
    </row>
    <row r="146" spans="1:4">
      <c r="A146">
        <v>271.61500000000001</v>
      </c>
      <c r="B146">
        <v>142</v>
      </c>
      <c r="C146">
        <v>1982</v>
      </c>
      <c r="D146">
        <v>10</v>
      </c>
    </row>
    <row r="147" spans="1:4">
      <c r="A147">
        <v>264.08789999999999</v>
      </c>
      <c r="B147">
        <v>143</v>
      </c>
      <c r="C147">
        <v>1982</v>
      </c>
      <c r="D147">
        <v>11</v>
      </c>
    </row>
    <row r="148" spans="1:4">
      <c r="A148">
        <v>241.94130000000001</v>
      </c>
      <c r="B148">
        <v>144</v>
      </c>
      <c r="C148">
        <v>1982</v>
      </c>
      <c r="D148">
        <v>12</v>
      </c>
    </row>
    <row r="149" spans="1:4">
      <c r="A149">
        <v>232.73099999999999</v>
      </c>
      <c r="B149">
        <v>145</v>
      </c>
      <c r="C149">
        <v>1983</v>
      </c>
      <c r="D149">
        <v>1</v>
      </c>
    </row>
    <row r="150" spans="1:4">
      <c r="A150">
        <v>236.12110000000001</v>
      </c>
      <c r="B150">
        <v>146</v>
      </c>
      <c r="C150">
        <v>1983</v>
      </c>
      <c r="D150">
        <v>2</v>
      </c>
    </row>
    <row r="151" spans="1:4">
      <c r="A151">
        <v>238.2543</v>
      </c>
      <c r="B151">
        <v>147</v>
      </c>
      <c r="C151">
        <v>1983</v>
      </c>
      <c r="D151">
        <v>3</v>
      </c>
    </row>
    <row r="152" spans="1:4">
      <c r="A152">
        <v>237.7467</v>
      </c>
      <c r="B152">
        <v>148</v>
      </c>
      <c r="C152">
        <v>1983</v>
      </c>
      <c r="D152">
        <v>4</v>
      </c>
    </row>
    <row r="153" spans="1:4">
      <c r="A153">
        <v>234.75569999999999</v>
      </c>
      <c r="B153">
        <v>149</v>
      </c>
      <c r="C153">
        <v>1983</v>
      </c>
      <c r="D153">
        <v>5</v>
      </c>
    </row>
    <row r="154" spans="1:4">
      <c r="A154">
        <v>240.03139999999999</v>
      </c>
      <c r="B154">
        <v>150</v>
      </c>
      <c r="C154">
        <v>1983</v>
      </c>
      <c r="D154">
        <v>6</v>
      </c>
    </row>
    <row r="155" spans="1:4">
      <c r="A155">
        <v>240.51599999999999</v>
      </c>
      <c r="B155">
        <v>151</v>
      </c>
      <c r="C155">
        <v>1983</v>
      </c>
      <c r="D155">
        <v>7</v>
      </c>
    </row>
    <row r="156" spans="1:4">
      <c r="A156">
        <v>244.46129999999999</v>
      </c>
      <c r="B156">
        <v>152</v>
      </c>
      <c r="C156">
        <v>1983</v>
      </c>
      <c r="D156">
        <v>8</v>
      </c>
    </row>
    <row r="157" spans="1:4">
      <c r="A157">
        <v>242.34620000000001</v>
      </c>
      <c r="B157">
        <v>153</v>
      </c>
      <c r="C157">
        <v>1983</v>
      </c>
      <c r="D157">
        <v>9</v>
      </c>
    </row>
    <row r="158" spans="1:4">
      <c r="A158">
        <v>232.88550000000001</v>
      </c>
      <c r="B158">
        <v>154</v>
      </c>
      <c r="C158">
        <v>1983</v>
      </c>
      <c r="D158">
        <v>10</v>
      </c>
    </row>
    <row r="159" spans="1:4">
      <c r="A159">
        <v>235.03</v>
      </c>
      <c r="B159">
        <v>155</v>
      </c>
      <c r="C159">
        <v>1983</v>
      </c>
      <c r="D159">
        <v>11</v>
      </c>
    </row>
    <row r="160" spans="1:4">
      <c r="A160">
        <v>234.4624</v>
      </c>
      <c r="B160">
        <v>156</v>
      </c>
      <c r="C160">
        <v>1983</v>
      </c>
      <c r="D160">
        <v>12</v>
      </c>
    </row>
    <row r="161" spans="1:4">
      <c r="A161">
        <v>233.8</v>
      </c>
      <c r="B161">
        <v>157</v>
      </c>
      <c r="C161">
        <v>1984</v>
      </c>
      <c r="D161">
        <v>1</v>
      </c>
    </row>
    <row r="162" spans="1:4">
      <c r="A162">
        <v>233.59630000000001</v>
      </c>
      <c r="B162">
        <v>158</v>
      </c>
      <c r="C162">
        <v>1984</v>
      </c>
      <c r="D162">
        <v>2</v>
      </c>
    </row>
    <row r="163" spans="1:4">
      <c r="A163">
        <v>225.2664</v>
      </c>
      <c r="B163">
        <v>159</v>
      </c>
      <c r="C163">
        <v>1984</v>
      </c>
      <c r="D163">
        <v>3</v>
      </c>
    </row>
    <row r="164" spans="1:4">
      <c r="A164">
        <v>225.2</v>
      </c>
      <c r="B164">
        <v>160</v>
      </c>
      <c r="C164">
        <v>1984</v>
      </c>
      <c r="D164">
        <v>4</v>
      </c>
    </row>
    <row r="165" spans="1:4">
      <c r="A165">
        <v>230.4777</v>
      </c>
      <c r="B165">
        <v>161</v>
      </c>
      <c r="C165">
        <v>1984</v>
      </c>
      <c r="D165">
        <v>5</v>
      </c>
    </row>
    <row r="166" spans="1:4">
      <c r="A166">
        <v>233.56569999999999</v>
      </c>
      <c r="B166">
        <v>162</v>
      </c>
      <c r="C166">
        <v>1984</v>
      </c>
      <c r="D166">
        <v>6</v>
      </c>
    </row>
    <row r="167" spans="1:4">
      <c r="A167">
        <v>243.0676</v>
      </c>
      <c r="B167">
        <v>163</v>
      </c>
      <c r="C167">
        <v>1984</v>
      </c>
      <c r="D167">
        <v>7</v>
      </c>
    </row>
    <row r="168" spans="1:4">
      <c r="A168">
        <v>242.26089999999999</v>
      </c>
      <c r="B168">
        <v>164</v>
      </c>
      <c r="C168">
        <v>1984</v>
      </c>
      <c r="D168">
        <v>8</v>
      </c>
    </row>
    <row r="169" spans="1:4">
      <c r="A169">
        <v>245.45679999999999</v>
      </c>
      <c r="B169">
        <v>165</v>
      </c>
      <c r="C169">
        <v>1984</v>
      </c>
      <c r="D169">
        <v>9</v>
      </c>
    </row>
    <row r="170" spans="1:4">
      <c r="A170">
        <v>246.75450000000001</v>
      </c>
      <c r="B170">
        <v>166</v>
      </c>
      <c r="C170">
        <v>1984</v>
      </c>
      <c r="D170">
        <v>10</v>
      </c>
    </row>
    <row r="171" spans="1:4">
      <c r="A171">
        <v>243.63050000000001</v>
      </c>
      <c r="B171">
        <v>167</v>
      </c>
      <c r="C171">
        <v>1984</v>
      </c>
      <c r="D171">
        <v>11</v>
      </c>
    </row>
    <row r="172" spans="1:4">
      <c r="A172">
        <v>247.964</v>
      </c>
      <c r="B172">
        <v>168</v>
      </c>
      <c r="C172">
        <v>1984</v>
      </c>
      <c r="D172">
        <v>12</v>
      </c>
    </row>
    <row r="173" spans="1:4">
      <c r="A173">
        <v>254.18289999999999</v>
      </c>
      <c r="B173">
        <v>169</v>
      </c>
      <c r="C173">
        <v>1985</v>
      </c>
      <c r="D173">
        <v>1</v>
      </c>
    </row>
    <row r="174" spans="1:4">
      <c r="A174">
        <v>260.4778</v>
      </c>
      <c r="B174">
        <v>170</v>
      </c>
      <c r="C174">
        <v>1985</v>
      </c>
      <c r="D174">
        <v>2</v>
      </c>
    </row>
    <row r="175" spans="1:4">
      <c r="A175">
        <v>257.9205</v>
      </c>
      <c r="B175">
        <v>171</v>
      </c>
      <c r="C175">
        <v>1985</v>
      </c>
      <c r="D175">
        <v>3</v>
      </c>
    </row>
    <row r="176" spans="1:4">
      <c r="A176">
        <v>251.84549999999999</v>
      </c>
      <c r="B176">
        <v>172</v>
      </c>
      <c r="C176">
        <v>1985</v>
      </c>
      <c r="D176">
        <v>4</v>
      </c>
    </row>
    <row r="177" spans="1:4">
      <c r="A177">
        <v>251.7295</v>
      </c>
      <c r="B177">
        <v>173</v>
      </c>
      <c r="C177">
        <v>1985</v>
      </c>
      <c r="D177">
        <v>5</v>
      </c>
    </row>
    <row r="178" spans="1:4">
      <c r="A178">
        <v>248.84</v>
      </c>
      <c r="B178">
        <v>174</v>
      </c>
      <c r="C178">
        <v>1985</v>
      </c>
      <c r="D178">
        <v>6</v>
      </c>
    </row>
    <row r="179" spans="1:4">
      <c r="A179">
        <v>241.13640000000001</v>
      </c>
      <c r="B179">
        <v>175</v>
      </c>
      <c r="C179">
        <v>1985</v>
      </c>
      <c r="D179">
        <v>7</v>
      </c>
    </row>
    <row r="180" spans="1:4">
      <c r="A180">
        <v>237.46090000000001</v>
      </c>
      <c r="B180">
        <v>176</v>
      </c>
      <c r="C180">
        <v>1985</v>
      </c>
      <c r="D180">
        <v>8</v>
      </c>
    </row>
    <row r="181" spans="1:4">
      <c r="A181">
        <v>236.5275</v>
      </c>
      <c r="B181">
        <v>177</v>
      </c>
      <c r="C181">
        <v>1985</v>
      </c>
      <c r="D181">
        <v>9</v>
      </c>
    </row>
    <row r="182" spans="1:4">
      <c r="A182">
        <v>214.68049999999999</v>
      </c>
      <c r="B182">
        <v>178</v>
      </c>
      <c r="C182">
        <v>1985</v>
      </c>
      <c r="D182">
        <v>10</v>
      </c>
    </row>
    <row r="183" spans="1:4">
      <c r="A183">
        <v>204.0737</v>
      </c>
      <c r="B183">
        <v>179</v>
      </c>
      <c r="C183">
        <v>1985</v>
      </c>
      <c r="D183">
        <v>11</v>
      </c>
    </row>
    <row r="184" spans="1:4">
      <c r="A184">
        <v>202.78809999999999</v>
      </c>
      <c r="B184">
        <v>180</v>
      </c>
      <c r="C184">
        <v>1985</v>
      </c>
      <c r="D184">
        <v>12</v>
      </c>
    </row>
    <row r="185" spans="1:4">
      <c r="A185">
        <v>199.8905</v>
      </c>
      <c r="B185">
        <v>181</v>
      </c>
      <c r="C185">
        <v>1986</v>
      </c>
      <c r="D185">
        <v>1</v>
      </c>
    </row>
    <row r="186" spans="1:4">
      <c r="A186">
        <v>184.85159999999999</v>
      </c>
      <c r="B186">
        <v>182</v>
      </c>
      <c r="C186">
        <v>1986</v>
      </c>
      <c r="D186">
        <v>2</v>
      </c>
    </row>
    <row r="187" spans="1:4">
      <c r="A187">
        <v>178.69380000000001</v>
      </c>
      <c r="B187">
        <v>183</v>
      </c>
      <c r="C187">
        <v>1986</v>
      </c>
      <c r="D187">
        <v>3</v>
      </c>
    </row>
    <row r="188" spans="1:4">
      <c r="A188">
        <v>175.09180000000001</v>
      </c>
      <c r="B188">
        <v>184</v>
      </c>
      <c r="C188">
        <v>1986</v>
      </c>
      <c r="D188">
        <v>4</v>
      </c>
    </row>
    <row r="189" spans="1:4">
      <c r="A189">
        <v>167.03139999999999</v>
      </c>
      <c r="B189">
        <v>185</v>
      </c>
      <c r="C189">
        <v>1986</v>
      </c>
      <c r="D189">
        <v>5</v>
      </c>
    </row>
    <row r="190" spans="1:4">
      <c r="A190">
        <v>167.5419</v>
      </c>
      <c r="B190">
        <v>186</v>
      </c>
      <c r="C190">
        <v>1986</v>
      </c>
      <c r="D190">
        <v>6</v>
      </c>
    </row>
    <row r="191" spans="1:4">
      <c r="A191">
        <v>158.60589999999999</v>
      </c>
      <c r="B191">
        <v>187</v>
      </c>
      <c r="C191">
        <v>1986</v>
      </c>
      <c r="D191">
        <v>7</v>
      </c>
    </row>
    <row r="192" spans="1:4">
      <c r="A192">
        <v>154.1771</v>
      </c>
      <c r="B192">
        <v>188</v>
      </c>
      <c r="C192">
        <v>1986</v>
      </c>
      <c r="D192">
        <v>8</v>
      </c>
    </row>
    <row r="193" spans="1:4">
      <c r="A193">
        <v>154.73140000000001</v>
      </c>
      <c r="B193">
        <v>189</v>
      </c>
      <c r="C193">
        <v>1986</v>
      </c>
      <c r="D193">
        <v>9</v>
      </c>
    </row>
    <row r="194" spans="1:4">
      <c r="A194">
        <v>156.47229999999999</v>
      </c>
      <c r="B194">
        <v>190</v>
      </c>
      <c r="C194">
        <v>1986</v>
      </c>
      <c r="D194">
        <v>10</v>
      </c>
    </row>
    <row r="195" spans="1:4">
      <c r="A195">
        <v>162.8494</v>
      </c>
      <c r="B195">
        <v>191</v>
      </c>
      <c r="C195">
        <v>1986</v>
      </c>
      <c r="D195">
        <v>11</v>
      </c>
    </row>
    <row r="196" spans="1:4">
      <c r="A196">
        <v>162.0523</v>
      </c>
      <c r="B196">
        <v>192</v>
      </c>
      <c r="C196">
        <v>1986</v>
      </c>
      <c r="D196">
        <v>12</v>
      </c>
    </row>
    <row r="197" spans="1:4">
      <c r="A197">
        <v>154.8295</v>
      </c>
      <c r="B197">
        <v>193</v>
      </c>
      <c r="C197">
        <v>1987</v>
      </c>
      <c r="D197">
        <v>1</v>
      </c>
    </row>
    <row r="198" spans="1:4">
      <c r="A198">
        <v>153.4068</v>
      </c>
      <c r="B198">
        <v>194</v>
      </c>
      <c r="C198">
        <v>1987</v>
      </c>
      <c r="D198">
        <v>2</v>
      </c>
    </row>
    <row r="199" spans="1:4">
      <c r="A199">
        <v>151.4332</v>
      </c>
      <c r="B199">
        <v>195</v>
      </c>
      <c r="C199">
        <v>1987</v>
      </c>
      <c r="D199">
        <v>3</v>
      </c>
    </row>
    <row r="200" spans="1:4">
      <c r="A200">
        <v>142.89859999999999</v>
      </c>
      <c r="B200">
        <v>196</v>
      </c>
      <c r="C200">
        <v>1987</v>
      </c>
      <c r="D200">
        <v>4</v>
      </c>
    </row>
    <row r="201" spans="1:4">
      <c r="A201">
        <v>140.47900000000001</v>
      </c>
      <c r="B201">
        <v>197</v>
      </c>
      <c r="C201">
        <v>1987</v>
      </c>
      <c r="D201">
        <v>5</v>
      </c>
    </row>
    <row r="202" spans="1:4">
      <c r="A202">
        <v>144.54949999999999</v>
      </c>
      <c r="B202">
        <v>198</v>
      </c>
      <c r="C202">
        <v>1987</v>
      </c>
      <c r="D202">
        <v>6</v>
      </c>
    </row>
    <row r="203" spans="1:4">
      <c r="A203">
        <v>150.29390000000001</v>
      </c>
      <c r="B203">
        <v>199</v>
      </c>
      <c r="C203">
        <v>1987</v>
      </c>
      <c r="D203">
        <v>7</v>
      </c>
    </row>
    <row r="204" spans="1:4">
      <c r="A204">
        <v>147.33430000000001</v>
      </c>
      <c r="B204">
        <v>200</v>
      </c>
      <c r="C204">
        <v>1987</v>
      </c>
      <c r="D204">
        <v>8</v>
      </c>
    </row>
    <row r="205" spans="1:4">
      <c r="A205">
        <v>143.291</v>
      </c>
      <c r="B205">
        <v>201</v>
      </c>
      <c r="C205">
        <v>1987</v>
      </c>
      <c r="D205">
        <v>9</v>
      </c>
    </row>
    <row r="206" spans="1:4">
      <c r="A206">
        <v>143.32</v>
      </c>
      <c r="B206">
        <v>202</v>
      </c>
      <c r="C206">
        <v>1987</v>
      </c>
      <c r="D206">
        <v>10</v>
      </c>
    </row>
    <row r="207" spans="1:4">
      <c r="A207">
        <v>135.3974</v>
      </c>
      <c r="B207">
        <v>203</v>
      </c>
      <c r="C207">
        <v>1987</v>
      </c>
      <c r="D207">
        <v>11</v>
      </c>
    </row>
    <row r="208" spans="1:4">
      <c r="A208">
        <v>128.24180000000001</v>
      </c>
      <c r="B208">
        <v>204</v>
      </c>
      <c r="C208">
        <v>1987</v>
      </c>
      <c r="D208">
        <v>12</v>
      </c>
    </row>
    <row r="209" spans="1:4">
      <c r="A209">
        <v>127.6853</v>
      </c>
      <c r="B209">
        <v>205</v>
      </c>
      <c r="C209">
        <v>1988</v>
      </c>
      <c r="D209">
        <v>1</v>
      </c>
    </row>
    <row r="210" spans="1:4">
      <c r="A210">
        <v>129.16650000000001</v>
      </c>
      <c r="B210">
        <v>206</v>
      </c>
      <c r="C210">
        <v>1988</v>
      </c>
      <c r="D210">
        <v>2</v>
      </c>
    </row>
    <row r="211" spans="1:4">
      <c r="A211">
        <v>127.1139</v>
      </c>
      <c r="B211">
        <v>207</v>
      </c>
      <c r="C211">
        <v>1988</v>
      </c>
      <c r="D211">
        <v>3</v>
      </c>
    </row>
    <row r="212" spans="1:4">
      <c r="A212">
        <v>124.8976</v>
      </c>
      <c r="B212">
        <v>208</v>
      </c>
      <c r="C212">
        <v>1988</v>
      </c>
      <c r="D212">
        <v>4</v>
      </c>
    </row>
    <row r="213" spans="1:4">
      <c r="A213">
        <v>124.7871</v>
      </c>
      <c r="B213">
        <v>209</v>
      </c>
      <c r="C213">
        <v>1988</v>
      </c>
      <c r="D213">
        <v>5</v>
      </c>
    </row>
    <row r="214" spans="1:4">
      <c r="A214">
        <v>127.46550000000001</v>
      </c>
      <c r="B214">
        <v>210</v>
      </c>
      <c r="C214">
        <v>1988</v>
      </c>
      <c r="D214">
        <v>6</v>
      </c>
    </row>
    <row r="215" spans="1:4">
      <c r="A215">
        <v>133.0215</v>
      </c>
      <c r="B215">
        <v>211</v>
      </c>
      <c r="C215">
        <v>1988</v>
      </c>
      <c r="D215">
        <v>7</v>
      </c>
    </row>
    <row r="216" spans="1:4">
      <c r="A216">
        <v>133.76609999999999</v>
      </c>
      <c r="B216">
        <v>212</v>
      </c>
      <c r="C216">
        <v>1988</v>
      </c>
      <c r="D216">
        <v>8</v>
      </c>
    </row>
    <row r="217" spans="1:4">
      <c r="A217">
        <v>134.3176</v>
      </c>
      <c r="B217">
        <v>213</v>
      </c>
      <c r="C217">
        <v>1988</v>
      </c>
      <c r="D217">
        <v>9</v>
      </c>
    </row>
    <row r="218" spans="1:4">
      <c r="A218">
        <v>128.68049999999999</v>
      </c>
      <c r="B218">
        <v>214</v>
      </c>
      <c r="C218">
        <v>1988</v>
      </c>
      <c r="D218">
        <v>10</v>
      </c>
    </row>
    <row r="219" spans="1:4">
      <c r="A219">
        <v>123.202</v>
      </c>
      <c r="B219">
        <v>215</v>
      </c>
      <c r="C219">
        <v>1988</v>
      </c>
      <c r="D219">
        <v>11</v>
      </c>
    </row>
    <row r="220" spans="1:4">
      <c r="A220">
        <v>123.60760000000001</v>
      </c>
      <c r="B220">
        <v>216</v>
      </c>
      <c r="C220">
        <v>1988</v>
      </c>
      <c r="D220">
        <v>12</v>
      </c>
    </row>
    <row r="221" spans="1:4">
      <c r="A221">
        <v>127.3625</v>
      </c>
      <c r="B221">
        <v>217</v>
      </c>
      <c r="C221">
        <v>1989</v>
      </c>
      <c r="D221">
        <v>1</v>
      </c>
    </row>
    <row r="222" spans="1:4">
      <c r="A222">
        <v>127.73739999999999</v>
      </c>
      <c r="B222">
        <v>218</v>
      </c>
      <c r="C222">
        <v>1989</v>
      </c>
      <c r="D222">
        <v>2</v>
      </c>
    </row>
    <row r="223" spans="1:4">
      <c r="A223">
        <v>130.5504</v>
      </c>
      <c r="B223">
        <v>219</v>
      </c>
      <c r="C223">
        <v>1989</v>
      </c>
      <c r="D223">
        <v>3</v>
      </c>
    </row>
    <row r="224" spans="1:4">
      <c r="A224">
        <v>132.03649999999999</v>
      </c>
      <c r="B224">
        <v>220</v>
      </c>
      <c r="C224">
        <v>1989</v>
      </c>
      <c r="D224">
        <v>4</v>
      </c>
    </row>
    <row r="225" spans="1:4">
      <c r="A225">
        <v>137.86359999999999</v>
      </c>
      <c r="B225">
        <v>221</v>
      </c>
      <c r="C225">
        <v>1989</v>
      </c>
      <c r="D225">
        <v>5</v>
      </c>
    </row>
    <row r="226" spans="1:4">
      <c r="A226">
        <v>143.98089999999999</v>
      </c>
      <c r="B226">
        <v>222</v>
      </c>
      <c r="C226">
        <v>1989</v>
      </c>
      <c r="D226">
        <v>6</v>
      </c>
    </row>
    <row r="227" spans="1:4">
      <c r="A227">
        <v>140.42400000000001</v>
      </c>
      <c r="B227">
        <v>223</v>
      </c>
      <c r="C227">
        <v>1989</v>
      </c>
      <c r="D227">
        <v>7</v>
      </c>
    </row>
    <row r="228" spans="1:4">
      <c r="A228">
        <v>141.48519999999999</v>
      </c>
      <c r="B228">
        <v>224</v>
      </c>
      <c r="C228">
        <v>1989</v>
      </c>
      <c r="D228">
        <v>8</v>
      </c>
    </row>
    <row r="229" spans="1:4">
      <c r="A229">
        <v>145.07</v>
      </c>
      <c r="B229">
        <v>225</v>
      </c>
      <c r="C229">
        <v>1989</v>
      </c>
      <c r="D229">
        <v>9</v>
      </c>
    </row>
    <row r="230" spans="1:4">
      <c r="A230">
        <v>142.20670000000001</v>
      </c>
      <c r="B230">
        <v>226</v>
      </c>
      <c r="C230">
        <v>1989</v>
      </c>
      <c r="D230">
        <v>10</v>
      </c>
    </row>
    <row r="231" spans="1:4">
      <c r="A231">
        <v>143.5343</v>
      </c>
      <c r="B231">
        <v>227</v>
      </c>
      <c r="C231">
        <v>1989</v>
      </c>
      <c r="D231">
        <v>11</v>
      </c>
    </row>
    <row r="232" spans="1:4">
      <c r="A232">
        <v>143.685</v>
      </c>
      <c r="B232">
        <v>228</v>
      </c>
      <c r="C232">
        <v>1989</v>
      </c>
      <c r="D232">
        <v>12</v>
      </c>
    </row>
    <row r="233" spans="1:4">
      <c r="A233">
        <v>144.9819</v>
      </c>
      <c r="B233">
        <v>229</v>
      </c>
      <c r="C233">
        <v>1990</v>
      </c>
      <c r="D233">
        <v>1</v>
      </c>
    </row>
    <row r="234" spans="1:4">
      <c r="A234">
        <v>145.69319999999999</v>
      </c>
      <c r="B234">
        <v>230</v>
      </c>
      <c r="C234">
        <v>1990</v>
      </c>
      <c r="D234">
        <v>2</v>
      </c>
    </row>
    <row r="235" spans="1:4">
      <c r="A235">
        <v>153.3082</v>
      </c>
      <c r="B235">
        <v>231</v>
      </c>
      <c r="C235">
        <v>1990</v>
      </c>
      <c r="D235">
        <v>3</v>
      </c>
    </row>
    <row r="236" spans="1:4">
      <c r="A236">
        <v>158.45859999999999</v>
      </c>
      <c r="B236">
        <v>232</v>
      </c>
      <c r="C236">
        <v>1990</v>
      </c>
      <c r="D236">
        <v>4</v>
      </c>
    </row>
    <row r="237" spans="1:4">
      <c r="A237">
        <v>154.04409999999999</v>
      </c>
      <c r="B237">
        <v>233</v>
      </c>
      <c r="C237">
        <v>1990</v>
      </c>
      <c r="D237">
        <v>5</v>
      </c>
    </row>
    <row r="238" spans="1:4">
      <c r="A238">
        <v>153.69569999999999</v>
      </c>
      <c r="B238">
        <v>234</v>
      </c>
      <c r="C238">
        <v>1990</v>
      </c>
      <c r="D238">
        <v>6</v>
      </c>
    </row>
    <row r="239" spans="1:4">
      <c r="A239">
        <v>149.0395</v>
      </c>
      <c r="B239">
        <v>235</v>
      </c>
      <c r="C239">
        <v>1990</v>
      </c>
      <c r="D239">
        <v>7</v>
      </c>
    </row>
    <row r="240" spans="1:4">
      <c r="A240">
        <v>147.46090000000001</v>
      </c>
      <c r="B240">
        <v>236</v>
      </c>
      <c r="C240">
        <v>1990</v>
      </c>
      <c r="D240">
        <v>8</v>
      </c>
    </row>
    <row r="241" spans="1:4">
      <c r="A241">
        <v>138.44049999999999</v>
      </c>
      <c r="B241">
        <v>237</v>
      </c>
      <c r="C241">
        <v>1990</v>
      </c>
      <c r="D241">
        <v>9</v>
      </c>
    </row>
    <row r="242" spans="1:4">
      <c r="A242">
        <v>129.5909</v>
      </c>
      <c r="B242">
        <v>238</v>
      </c>
      <c r="C242">
        <v>1990</v>
      </c>
      <c r="D242">
        <v>10</v>
      </c>
    </row>
    <row r="243" spans="1:4">
      <c r="A243">
        <v>129.21549999999999</v>
      </c>
      <c r="B243">
        <v>239</v>
      </c>
      <c r="C243">
        <v>1990</v>
      </c>
      <c r="D243">
        <v>11</v>
      </c>
    </row>
    <row r="244" spans="1:4">
      <c r="A244">
        <v>133.88900000000001</v>
      </c>
      <c r="B244">
        <v>240</v>
      </c>
      <c r="C244">
        <v>1990</v>
      </c>
      <c r="D244">
        <v>12</v>
      </c>
    </row>
    <row r="245" spans="1:4">
      <c r="A245">
        <v>133.6986</v>
      </c>
      <c r="B245">
        <v>241</v>
      </c>
      <c r="C245">
        <v>1991</v>
      </c>
      <c r="D245">
        <v>1</v>
      </c>
    </row>
    <row r="246" spans="1:4">
      <c r="A246">
        <v>130.53579999999999</v>
      </c>
      <c r="B246">
        <v>242</v>
      </c>
      <c r="C246">
        <v>1991</v>
      </c>
      <c r="D246">
        <v>2</v>
      </c>
    </row>
    <row r="247" spans="1:4">
      <c r="A247">
        <v>137.38669999999999</v>
      </c>
      <c r="B247">
        <v>243</v>
      </c>
      <c r="C247">
        <v>1991</v>
      </c>
      <c r="D247">
        <v>3</v>
      </c>
    </row>
    <row r="248" spans="1:4">
      <c r="A248">
        <v>137.11269999999999</v>
      </c>
      <c r="B248">
        <v>244</v>
      </c>
      <c r="C248">
        <v>1991</v>
      </c>
      <c r="D248">
        <v>4</v>
      </c>
    </row>
    <row r="249" spans="1:4">
      <c r="A249">
        <v>138.2218</v>
      </c>
      <c r="B249">
        <v>245</v>
      </c>
      <c r="C249">
        <v>1991</v>
      </c>
      <c r="D249">
        <v>5</v>
      </c>
    </row>
    <row r="250" spans="1:4">
      <c r="A250">
        <v>139.7475</v>
      </c>
      <c r="B250">
        <v>246</v>
      </c>
      <c r="C250">
        <v>1991</v>
      </c>
      <c r="D250">
        <v>6</v>
      </c>
    </row>
    <row r="251" spans="1:4">
      <c r="A251">
        <v>137.83000000000001</v>
      </c>
      <c r="B251">
        <v>247</v>
      </c>
      <c r="C251">
        <v>1991</v>
      </c>
      <c r="D251">
        <v>7</v>
      </c>
    </row>
    <row r="252" spans="1:4">
      <c r="A252">
        <v>136.81639999999999</v>
      </c>
      <c r="B252">
        <v>248</v>
      </c>
      <c r="C252">
        <v>1991</v>
      </c>
      <c r="D252">
        <v>8</v>
      </c>
    </row>
    <row r="253" spans="1:4">
      <c r="A253">
        <v>134.29949999999999</v>
      </c>
      <c r="B253">
        <v>249</v>
      </c>
      <c r="C253">
        <v>1991</v>
      </c>
      <c r="D253">
        <v>9</v>
      </c>
    </row>
    <row r="254" spans="1:4">
      <c r="A254">
        <v>130.7723</v>
      </c>
      <c r="B254">
        <v>250</v>
      </c>
      <c r="C254">
        <v>1991</v>
      </c>
      <c r="D254">
        <v>10</v>
      </c>
    </row>
    <row r="255" spans="1:4">
      <c r="A255">
        <v>129.63210000000001</v>
      </c>
      <c r="B255">
        <v>251</v>
      </c>
      <c r="C255">
        <v>1991</v>
      </c>
      <c r="D255">
        <v>11</v>
      </c>
    </row>
    <row r="256" spans="1:4">
      <c r="A256">
        <v>128.0395</v>
      </c>
      <c r="B256">
        <v>252</v>
      </c>
      <c r="C256">
        <v>1991</v>
      </c>
      <c r="D256">
        <v>12</v>
      </c>
    </row>
    <row r="257" spans="1:4">
      <c r="A257">
        <v>125.4614</v>
      </c>
      <c r="B257">
        <v>253</v>
      </c>
      <c r="C257">
        <v>1992</v>
      </c>
      <c r="D257">
        <v>1</v>
      </c>
    </row>
    <row r="258" spans="1:4">
      <c r="A258">
        <v>127.69889999999999</v>
      </c>
      <c r="B258">
        <v>254</v>
      </c>
      <c r="C258">
        <v>1992</v>
      </c>
      <c r="D258">
        <v>2</v>
      </c>
    </row>
    <row r="259" spans="1:4">
      <c r="A259">
        <v>132.86269999999999</v>
      </c>
      <c r="B259">
        <v>255</v>
      </c>
      <c r="C259">
        <v>1992</v>
      </c>
      <c r="D259">
        <v>3</v>
      </c>
    </row>
    <row r="260" spans="1:4">
      <c r="A260">
        <v>133.5395</v>
      </c>
      <c r="B260">
        <v>256</v>
      </c>
      <c r="C260">
        <v>1992</v>
      </c>
      <c r="D260">
        <v>4</v>
      </c>
    </row>
    <row r="261" spans="1:4">
      <c r="A261">
        <v>130.77099999999999</v>
      </c>
      <c r="B261">
        <v>257</v>
      </c>
      <c r="C261">
        <v>1992</v>
      </c>
      <c r="D261">
        <v>5</v>
      </c>
    </row>
    <row r="262" spans="1:4">
      <c r="A262">
        <v>126.8355</v>
      </c>
      <c r="B262">
        <v>258</v>
      </c>
      <c r="C262">
        <v>1992</v>
      </c>
      <c r="D262">
        <v>6</v>
      </c>
    </row>
    <row r="263" spans="1:4">
      <c r="A263">
        <v>125.8817</v>
      </c>
      <c r="B263">
        <v>259</v>
      </c>
      <c r="C263">
        <v>1992</v>
      </c>
      <c r="D263">
        <v>7</v>
      </c>
    </row>
    <row r="264" spans="1:4">
      <c r="A264">
        <v>126.23099999999999</v>
      </c>
      <c r="B264">
        <v>260</v>
      </c>
      <c r="C264">
        <v>1992</v>
      </c>
      <c r="D264">
        <v>8</v>
      </c>
    </row>
    <row r="265" spans="1:4">
      <c r="A265">
        <v>122.5967</v>
      </c>
      <c r="B265">
        <v>261</v>
      </c>
      <c r="C265">
        <v>1992</v>
      </c>
      <c r="D265">
        <v>9</v>
      </c>
    </row>
    <row r="266" spans="1:4">
      <c r="A266">
        <v>121.1652</v>
      </c>
      <c r="B266">
        <v>262</v>
      </c>
      <c r="C266">
        <v>1992</v>
      </c>
      <c r="D266">
        <v>10</v>
      </c>
    </row>
    <row r="267" spans="1:4">
      <c r="A267">
        <v>123.88</v>
      </c>
      <c r="B267">
        <v>263</v>
      </c>
      <c r="C267">
        <v>1992</v>
      </c>
      <c r="D267">
        <v>11</v>
      </c>
    </row>
    <row r="268" spans="1:4">
      <c r="A268">
        <v>124.04089999999999</v>
      </c>
      <c r="B268">
        <v>264</v>
      </c>
      <c r="C268">
        <v>1992</v>
      </c>
      <c r="D268">
        <v>12</v>
      </c>
    </row>
    <row r="269" spans="1:4">
      <c r="A269">
        <v>124.9932</v>
      </c>
      <c r="B269">
        <v>265</v>
      </c>
      <c r="C269">
        <v>1993</v>
      </c>
      <c r="D269">
        <v>1</v>
      </c>
    </row>
    <row r="270" spans="1:4">
      <c r="A270">
        <v>120.7595</v>
      </c>
      <c r="B270">
        <v>266</v>
      </c>
      <c r="C270">
        <v>1993</v>
      </c>
      <c r="D270">
        <v>2</v>
      </c>
    </row>
    <row r="271" spans="1:4">
      <c r="A271">
        <v>117.01739999999999</v>
      </c>
      <c r="B271">
        <v>267</v>
      </c>
      <c r="C271">
        <v>1993</v>
      </c>
      <c r="D271">
        <v>3</v>
      </c>
    </row>
    <row r="272" spans="1:4">
      <c r="A272">
        <v>112.4114</v>
      </c>
      <c r="B272">
        <v>268</v>
      </c>
      <c r="C272">
        <v>1993</v>
      </c>
      <c r="D272">
        <v>4</v>
      </c>
    </row>
    <row r="273" spans="1:4">
      <c r="A273">
        <v>110.343</v>
      </c>
      <c r="B273">
        <v>269</v>
      </c>
      <c r="C273">
        <v>1993</v>
      </c>
      <c r="D273">
        <v>5</v>
      </c>
    </row>
    <row r="274" spans="1:4">
      <c r="A274">
        <v>107.4118</v>
      </c>
      <c r="B274">
        <v>270</v>
      </c>
      <c r="C274">
        <v>1993</v>
      </c>
      <c r="D274">
        <v>6</v>
      </c>
    </row>
    <row r="275" spans="1:4">
      <c r="A275">
        <v>107.6914</v>
      </c>
      <c r="B275">
        <v>271</v>
      </c>
      <c r="C275">
        <v>1993</v>
      </c>
      <c r="D275">
        <v>7</v>
      </c>
    </row>
    <row r="276" spans="1:4">
      <c r="A276">
        <v>103.765</v>
      </c>
      <c r="B276">
        <v>272</v>
      </c>
      <c r="C276">
        <v>1993</v>
      </c>
      <c r="D276">
        <v>8</v>
      </c>
    </row>
    <row r="277" spans="1:4">
      <c r="A277">
        <v>105.5748</v>
      </c>
      <c r="B277">
        <v>273</v>
      </c>
      <c r="C277">
        <v>1993</v>
      </c>
      <c r="D277">
        <v>9</v>
      </c>
    </row>
    <row r="278" spans="1:4">
      <c r="A278">
        <v>107.02</v>
      </c>
      <c r="B278">
        <v>274</v>
      </c>
      <c r="C278">
        <v>1993</v>
      </c>
      <c r="D278">
        <v>10</v>
      </c>
    </row>
    <row r="279" spans="1:4">
      <c r="A279">
        <v>107.87649999999999</v>
      </c>
      <c r="B279">
        <v>275</v>
      </c>
      <c r="C279">
        <v>1993</v>
      </c>
      <c r="D279">
        <v>11</v>
      </c>
    </row>
    <row r="280" spans="1:4">
      <c r="A280">
        <v>109.913</v>
      </c>
      <c r="B280">
        <v>276</v>
      </c>
      <c r="C280">
        <v>1993</v>
      </c>
      <c r="D280">
        <v>12</v>
      </c>
    </row>
    <row r="281" spans="1:4">
      <c r="A281">
        <v>111.4415</v>
      </c>
      <c r="B281">
        <v>277</v>
      </c>
      <c r="C281">
        <v>1994</v>
      </c>
      <c r="D281">
        <v>1</v>
      </c>
    </row>
    <row r="282" spans="1:4">
      <c r="A282">
        <v>106.30110000000001</v>
      </c>
      <c r="B282">
        <v>278</v>
      </c>
      <c r="C282">
        <v>1994</v>
      </c>
      <c r="D282">
        <v>2</v>
      </c>
    </row>
    <row r="283" spans="1:4">
      <c r="A283">
        <v>105.09739999999999</v>
      </c>
      <c r="B283">
        <v>279</v>
      </c>
      <c r="C283">
        <v>1994</v>
      </c>
      <c r="D283">
        <v>3</v>
      </c>
    </row>
    <row r="284" spans="1:4">
      <c r="A284">
        <v>103.4843</v>
      </c>
      <c r="B284">
        <v>280</v>
      </c>
      <c r="C284">
        <v>1994</v>
      </c>
      <c r="D284">
        <v>4</v>
      </c>
    </row>
    <row r="285" spans="1:4">
      <c r="A285">
        <v>103.7533</v>
      </c>
      <c r="B285">
        <v>281</v>
      </c>
      <c r="C285">
        <v>1994</v>
      </c>
      <c r="D285">
        <v>5</v>
      </c>
    </row>
    <row r="286" spans="1:4">
      <c r="A286">
        <v>102.5264</v>
      </c>
      <c r="B286">
        <v>282</v>
      </c>
      <c r="C286">
        <v>1994</v>
      </c>
      <c r="D286">
        <v>6</v>
      </c>
    </row>
    <row r="287" spans="1:4">
      <c r="A287">
        <v>98.444999999999993</v>
      </c>
      <c r="B287">
        <v>283</v>
      </c>
      <c r="C287">
        <v>1994</v>
      </c>
      <c r="D287">
        <v>7</v>
      </c>
    </row>
    <row r="288" spans="1:4">
      <c r="A288">
        <v>99.940399999999997</v>
      </c>
      <c r="B288">
        <v>284</v>
      </c>
      <c r="C288">
        <v>1994</v>
      </c>
      <c r="D288">
        <v>8</v>
      </c>
    </row>
    <row r="289" spans="1:4">
      <c r="A289">
        <v>98.774299999999997</v>
      </c>
      <c r="B289">
        <v>285</v>
      </c>
      <c r="C289">
        <v>1994</v>
      </c>
      <c r="D289">
        <v>9</v>
      </c>
    </row>
    <row r="290" spans="1:4">
      <c r="A290">
        <v>98.352999999999994</v>
      </c>
      <c r="B290">
        <v>286</v>
      </c>
      <c r="C290">
        <v>1994</v>
      </c>
      <c r="D290">
        <v>10</v>
      </c>
    </row>
    <row r="291" spans="1:4">
      <c r="A291">
        <v>98.043999999999997</v>
      </c>
      <c r="B291">
        <v>287</v>
      </c>
      <c r="C291">
        <v>1994</v>
      </c>
      <c r="D291">
        <v>11</v>
      </c>
    </row>
    <row r="292" spans="1:4">
      <c r="A292">
        <v>100.1824</v>
      </c>
      <c r="B292">
        <v>288</v>
      </c>
      <c r="C292">
        <v>1994</v>
      </c>
      <c r="D292">
        <v>12</v>
      </c>
    </row>
    <row r="293" spans="1:4">
      <c r="A293">
        <v>99.766000000000005</v>
      </c>
      <c r="B293">
        <v>289</v>
      </c>
      <c r="C293">
        <v>1995</v>
      </c>
      <c r="D293">
        <v>1</v>
      </c>
    </row>
    <row r="294" spans="1:4">
      <c r="A294">
        <v>98.236800000000002</v>
      </c>
      <c r="B294">
        <v>290</v>
      </c>
      <c r="C294">
        <v>1995</v>
      </c>
      <c r="D294">
        <v>2</v>
      </c>
    </row>
    <row r="295" spans="1:4">
      <c r="A295">
        <v>90.519599999999997</v>
      </c>
      <c r="B295">
        <v>291</v>
      </c>
      <c r="C295">
        <v>1995</v>
      </c>
      <c r="D295">
        <v>3</v>
      </c>
    </row>
    <row r="296" spans="1:4">
      <c r="A296">
        <v>83.689499999999995</v>
      </c>
      <c r="B296">
        <v>292</v>
      </c>
      <c r="C296">
        <v>1995</v>
      </c>
      <c r="D296">
        <v>4</v>
      </c>
    </row>
    <row r="297" spans="1:4">
      <c r="A297">
        <v>85.112700000000004</v>
      </c>
      <c r="B297">
        <v>293</v>
      </c>
      <c r="C297">
        <v>1995</v>
      </c>
      <c r="D297">
        <v>5</v>
      </c>
    </row>
    <row r="298" spans="1:4">
      <c r="A298">
        <v>84.635499999999993</v>
      </c>
      <c r="B298">
        <v>294</v>
      </c>
      <c r="C298">
        <v>1995</v>
      </c>
      <c r="D298">
        <v>6</v>
      </c>
    </row>
    <row r="299" spans="1:4">
      <c r="A299">
        <v>87.397000000000006</v>
      </c>
      <c r="B299">
        <v>295</v>
      </c>
      <c r="C299">
        <v>1995</v>
      </c>
      <c r="D299">
        <v>7</v>
      </c>
    </row>
    <row r="300" spans="1:4">
      <c r="A300">
        <v>94.738299999999995</v>
      </c>
      <c r="B300">
        <v>296</v>
      </c>
      <c r="C300">
        <v>1995</v>
      </c>
      <c r="D300">
        <v>8</v>
      </c>
    </row>
    <row r="301" spans="1:4">
      <c r="A301">
        <v>100.5455</v>
      </c>
      <c r="B301">
        <v>297</v>
      </c>
      <c r="C301">
        <v>1995</v>
      </c>
      <c r="D301">
        <v>9</v>
      </c>
    </row>
    <row r="302" spans="1:4">
      <c r="A302">
        <v>100.839</v>
      </c>
      <c r="B302">
        <v>298</v>
      </c>
      <c r="C302">
        <v>1995</v>
      </c>
      <c r="D302">
        <v>10</v>
      </c>
    </row>
    <row r="303" spans="1:4">
      <c r="A303">
        <v>101.94</v>
      </c>
      <c r="B303">
        <v>299</v>
      </c>
      <c r="C303">
        <v>1995</v>
      </c>
      <c r="D303">
        <v>11</v>
      </c>
    </row>
    <row r="304" spans="1:4">
      <c r="A304">
        <v>101.84950000000001</v>
      </c>
      <c r="B304">
        <v>300</v>
      </c>
      <c r="C304">
        <v>1995</v>
      </c>
      <c r="D304">
        <v>12</v>
      </c>
    </row>
    <row r="305" spans="1:4">
      <c r="A305">
        <v>105.7514</v>
      </c>
      <c r="B305">
        <v>301</v>
      </c>
      <c r="C305">
        <v>1996</v>
      </c>
      <c r="D305">
        <v>1</v>
      </c>
    </row>
    <row r="306" spans="1:4">
      <c r="A306">
        <v>105.788</v>
      </c>
      <c r="B306">
        <v>302</v>
      </c>
      <c r="C306">
        <v>1996</v>
      </c>
      <c r="D306">
        <v>2</v>
      </c>
    </row>
    <row r="307" spans="1:4">
      <c r="A307">
        <v>105.94</v>
      </c>
      <c r="B307">
        <v>303</v>
      </c>
      <c r="C307">
        <v>1996</v>
      </c>
      <c r="D307">
        <v>3</v>
      </c>
    </row>
    <row r="308" spans="1:4">
      <c r="A308">
        <v>107.1995</v>
      </c>
      <c r="B308">
        <v>304</v>
      </c>
      <c r="C308">
        <v>1996</v>
      </c>
      <c r="D308">
        <v>4</v>
      </c>
    </row>
    <row r="309" spans="1:4">
      <c r="A309">
        <v>106.34229999999999</v>
      </c>
      <c r="B309">
        <v>305</v>
      </c>
      <c r="C309">
        <v>1996</v>
      </c>
      <c r="D309">
        <v>5</v>
      </c>
    </row>
    <row r="310" spans="1:4">
      <c r="A310">
        <v>108.96</v>
      </c>
      <c r="B310">
        <v>306</v>
      </c>
      <c r="C310">
        <v>1996</v>
      </c>
      <c r="D310">
        <v>6</v>
      </c>
    </row>
    <row r="311" spans="1:4">
      <c r="A311">
        <v>109.1909</v>
      </c>
      <c r="B311">
        <v>307</v>
      </c>
      <c r="C311">
        <v>1996</v>
      </c>
      <c r="D311">
        <v>7</v>
      </c>
    </row>
    <row r="312" spans="1:4">
      <c r="A312">
        <v>107.8659</v>
      </c>
      <c r="B312">
        <v>308</v>
      </c>
      <c r="C312">
        <v>1996</v>
      </c>
      <c r="D312">
        <v>8</v>
      </c>
    </row>
    <row r="313" spans="1:4">
      <c r="A313">
        <v>109.931</v>
      </c>
      <c r="B313">
        <v>309</v>
      </c>
      <c r="C313">
        <v>1996</v>
      </c>
      <c r="D313">
        <v>9</v>
      </c>
    </row>
    <row r="314" spans="1:4">
      <c r="A314">
        <v>112.4123</v>
      </c>
      <c r="B314">
        <v>310</v>
      </c>
      <c r="C314">
        <v>1996</v>
      </c>
      <c r="D314">
        <v>10</v>
      </c>
    </row>
    <row r="315" spans="1:4">
      <c r="A315">
        <v>112.2958</v>
      </c>
      <c r="B315">
        <v>311</v>
      </c>
      <c r="C315">
        <v>1996</v>
      </c>
      <c r="D315">
        <v>11</v>
      </c>
    </row>
    <row r="316" spans="1:4">
      <c r="A316">
        <v>113.98099999999999</v>
      </c>
      <c r="B316">
        <v>312</v>
      </c>
      <c r="C316">
        <v>1996</v>
      </c>
      <c r="D316">
        <v>12</v>
      </c>
    </row>
    <row r="317" spans="1:4">
      <c r="A317">
        <v>117.91240000000001</v>
      </c>
      <c r="B317">
        <v>313</v>
      </c>
      <c r="C317">
        <v>1997</v>
      </c>
      <c r="D317">
        <v>1</v>
      </c>
    </row>
    <row r="318" spans="1:4">
      <c r="A318">
        <v>122.96210000000001</v>
      </c>
      <c r="B318">
        <v>314</v>
      </c>
      <c r="C318">
        <v>1997</v>
      </c>
      <c r="D318">
        <v>2</v>
      </c>
    </row>
    <row r="319" spans="1:4">
      <c r="A319">
        <v>122.77379999999999</v>
      </c>
      <c r="B319">
        <v>315</v>
      </c>
      <c r="C319">
        <v>1997</v>
      </c>
      <c r="D319">
        <v>3</v>
      </c>
    </row>
    <row r="320" spans="1:4">
      <c r="A320">
        <v>125.6377</v>
      </c>
      <c r="B320">
        <v>316</v>
      </c>
      <c r="C320">
        <v>1997</v>
      </c>
      <c r="D320">
        <v>4</v>
      </c>
    </row>
    <row r="321" spans="1:4">
      <c r="A321">
        <v>119.19240000000001</v>
      </c>
      <c r="B321">
        <v>317</v>
      </c>
      <c r="C321">
        <v>1997</v>
      </c>
      <c r="D321">
        <v>5</v>
      </c>
    </row>
    <row r="322" spans="1:4">
      <c r="A322">
        <v>114.28570000000001</v>
      </c>
      <c r="B322">
        <v>318</v>
      </c>
      <c r="C322">
        <v>1997</v>
      </c>
      <c r="D322">
        <v>6</v>
      </c>
    </row>
    <row r="323" spans="1:4">
      <c r="A323">
        <v>115.3759</v>
      </c>
      <c r="B323">
        <v>319</v>
      </c>
      <c r="C323">
        <v>1997</v>
      </c>
      <c r="D323">
        <v>7</v>
      </c>
    </row>
    <row r="324" spans="1:4">
      <c r="A324">
        <v>117.9295</v>
      </c>
      <c r="B324">
        <v>320</v>
      </c>
      <c r="C324">
        <v>1997</v>
      </c>
      <c r="D324">
        <v>8</v>
      </c>
    </row>
    <row r="325" spans="1:4">
      <c r="A325">
        <v>120.89</v>
      </c>
      <c r="B325">
        <v>321</v>
      </c>
      <c r="C325">
        <v>1997</v>
      </c>
      <c r="D325">
        <v>9</v>
      </c>
    </row>
    <row r="326" spans="1:4">
      <c r="A326">
        <v>121.0605</v>
      </c>
      <c r="B326">
        <v>322</v>
      </c>
      <c r="C326">
        <v>1997</v>
      </c>
      <c r="D326">
        <v>10</v>
      </c>
    </row>
    <row r="327" spans="1:4">
      <c r="A327">
        <v>125.3817</v>
      </c>
      <c r="B327">
        <v>323</v>
      </c>
      <c r="C327">
        <v>1997</v>
      </c>
      <c r="D327">
        <v>11</v>
      </c>
    </row>
    <row r="328" spans="1:4">
      <c r="A328">
        <v>129.73410000000001</v>
      </c>
      <c r="B328">
        <v>324</v>
      </c>
      <c r="C328">
        <v>1997</v>
      </c>
      <c r="D328">
        <v>12</v>
      </c>
    </row>
    <row r="329" spans="1:4">
      <c r="A329">
        <v>129.54750000000001</v>
      </c>
      <c r="B329">
        <v>325</v>
      </c>
      <c r="C329">
        <v>1998</v>
      </c>
      <c r="D329">
        <v>1</v>
      </c>
    </row>
    <row r="330" spans="1:4">
      <c r="A330">
        <v>125.8516</v>
      </c>
      <c r="B330">
        <v>326</v>
      </c>
      <c r="C330">
        <v>1998</v>
      </c>
      <c r="D330">
        <v>2</v>
      </c>
    </row>
    <row r="331" spans="1:4">
      <c r="A331">
        <v>129.0823</v>
      </c>
      <c r="B331">
        <v>327</v>
      </c>
      <c r="C331">
        <v>1998</v>
      </c>
      <c r="D331">
        <v>3</v>
      </c>
    </row>
    <row r="332" spans="1:4">
      <c r="A332">
        <v>131.75360000000001</v>
      </c>
      <c r="B332">
        <v>328</v>
      </c>
      <c r="C332">
        <v>1998</v>
      </c>
      <c r="D332">
        <v>4</v>
      </c>
    </row>
    <row r="333" spans="1:4">
      <c r="A333">
        <v>134.89599999999999</v>
      </c>
      <c r="B333">
        <v>329</v>
      </c>
      <c r="C333">
        <v>1998</v>
      </c>
      <c r="D333">
        <v>5</v>
      </c>
    </row>
    <row r="334" spans="1:4">
      <c r="A334">
        <v>140.3305</v>
      </c>
      <c r="B334">
        <v>330</v>
      </c>
      <c r="C334">
        <v>1998</v>
      </c>
      <c r="D334">
        <v>6</v>
      </c>
    </row>
    <row r="335" spans="1:4">
      <c r="A335">
        <v>140.78739999999999</v>
      </c>
      <c r="B335">
        <v>331</v>
      </c>
      <c r="C335">
        <v>1998</v>
      </c>
      <c r="D335">
        <v>7</v>
      </c>
    </row>
    <row r="336" spans="1:4">
      <c r="A336">
        <v>144.68</v>
      </c>
      <c r="B336">
        <v>332</v>
      </c>
      <c r="C336">
        <v>1998</v>
      </c>
      <c r="D336">
        <v>8</v>
      </c>
    </row>
    <row r="337" spans="1:4">
      <c r="A337">
        <v>134.48050000000001</v>
      </c>
      <c r="B337">
        <v>333</v>
      </c>
      <c r="C337">
        <v>1998</v>
      </c>
      <c r="D337">
        <v>9</v>
      </c>
    </row>
    <row r="338" spans="1:4">
      <c r="A338">
        <v>121.04859999999999</v>
      </c>
      <c r="B338">
        <v>334</v>
      </c>
      <c r="C338">
        <v>1998</v>
      </c>
      <c r="D338">
        <v>10</v>
      </c>
    </row>
    <row r="339" spans="1:4">
      <c r="A339">
        <v>120.2895</v>
      </c>
      <c r="B339">
        <v>335</v>
      </c>
      <c r="C339">
        <v>1998</v>
      </c>
      <c r="D339">
        <v>11</v>
      </c>
    </row>
    <row r="340" spans="1:4">
      <c r="A340">
        <v>117.07089999999999</v>
      </c>
      <c r="B340">
        <v>336</v>
      </c>
      <c r="C340">
        <v>1998</v>
      </c>
      <c r="D340">
        <v>12</v>
      </c>
    </row>
    <row r="341" spans="1:4">
      <c r="A341">
        <v>113.29</v>
      </c>
      <c r="B341">
        <v>337</v>
      </c>
      <c r="C341">
        <v>1999</v>
      </c>
      <c r="D341">
        <v>1</v>
      </c>
    </row>
    <row r="342" spans="1:4">
      <c r="A342">
        <v>116.66840000000001</v>
      </c>
      <c r="B342">
        <v>338</v>
      </c>
      <c r="C342">
        <v>1999</v>
      </c>
      <c r="D342">
        <v>2</v>
      </c>
    </row>
    <row r="343" spans="1:4">
      <c r="A343">
        <v>119.473</v>
      </c>
      <c r="B343">
        <v>339</v>
      </c>
      <c r="C343">
        <v>1999</v>
      </c>
      <c r="D343">
        <v>3</v>
      </c>
    </row>
    <row r="344" spans="1:4">
      <c r="A344">
        <v>119.7723</v>
      </c>
      <c r="B344">
        <v>340</v>
      </c>
      <c r="C344">
        <v>1999</v>
      </c>
      <c r="D344">
        <v>4</v>
      </c>
    </row>
    <row r="345" spans="1:4">
      <c r="A345">
        <v>121.9995</v>
      </c>
      <c r="B345">
        <v>341</v>
      </c>
      <c r="C345">
        <v>1999</v>
      </c>
      <c r="D345">
        <v>5</v>
      </c>
    </row>
    <row r="346" spans="1:4">
      <c r="A346">
        <v>120.72450000000001</v>
      </c>
      <c r="B346">
        <v>342</v>
      </c>
      <c r="C346">
        <v>1999</v>
      </c>
      <c r="D346">
        <v>6</v>
      </c>
    </row>
    <row r="347" spans="1:4">
      <c r="A347">
        <v>119.3305</v>
      </c>
      <c r="B347">
        <v>343</v>
      </c>
      <c r="C347">
        <v>1999</v>
      </c>
      <c r="D347">
        <v>7</v>
      </c>
    </row>
    <row r="348" spans="1:4">
      <c r="A348">
        <v>113.2268</v>
      </c>
      <c r="B348">
        <v>344</v>
      </c>
      <c r="C348">
        <v>1999</v>
      </c>
      <c r="D348">
        <v>8</v>
      </c>
    </row>
    <row r="349" spans="1:4">
      <c r="A349">
        <v>106.87520000000001</v>
      </c>
      <c r="B349">
        <v>345</v>
      </c>
      <c r="C349">
        <v>1999</v>
      </c>
      <c r="D349">
        <v>9</v>
      </c>
    </row>
    <row r="350" spans="1:4">
      <c r="A350">
        <v>105.965</v>
      </c>
      <c r="B350">
        <v>346</v>
      </c>
      <c r="C350">
        <v>1999</v>
      </c>
      <c r="D350">
        <v>10</v>
      </c>
    </row>
    <row r="351" spans="1:4">
      <c r="A351">
        <v>104.6485</v>
      </c>
      <c r="B351">
        <v>347</v>
      </c>
      <c r="C351">
        <v>1999</v>
      </c>
      <c r="D351">
        <v>11</v>
      </c>
    </row>
    <row r="352" spans="1:4">
      <c r="A352">
        <v>102.5843</v>
      </c>
      <c r="B352">
        <v>348</v>
      </c>
      <c r="C352">
        <v>1999</v>
      </c>
      <c r="D352">
        <v>12</v>
      </c>
    </row>
    <row r="353" spans="1:4">
      <c r="A353">
        <v>105.29600000000001</v>
      </c>
      <c r="B353">
        <v>349</v>
      </c>
      <c r="C353">
        <v>2000</v>
      </c>
      <c r="D353">
        <v>1</v>
      </c>
    </row>
    <row r="354" spans="1:4">
      <c r="A354">
        <v>109.38849999999999</v>
      </c>
      <c r="B354">
        <v>350</v>
      </c>
      <c r="C354">
        <v>2000</v>
      </c>
      <c r="D354">
        <v>2</v>
      </c>
    </row>
    <row r="355" spans="1:4">
      <c r="A355">
        <v>106.3074</v>
      </c>
      <c r="B355">
        <v>351</v>
      </c>
      <c r="C355">
        <v>2000</v>
      </c>
      <c r="D355">
        <v>3</v>
      </c>
    </row>
    <row r="356" spans="1:4">
      <c r="A356">
        <v>105.627</v>
      </c>
      <c r="B356">
        <v>352</v>
      </c>
      <c r="C356">
        <v>2000</v>
      </c>
      <c r="D356">
        <v>4</v>
      </c>
    </row>
    <row r="357" spans="1:4">
      <c r="A357">
        <v>108.3205</v>
      </c>
      <c r="B357">
        <v>353</v>
      </c>
      <c r="C357">
        <v>2000</v>
      </c>
      <c r="D357">
        <v>5</v>
      </c>
    </row>
    <row r="358" spans="1:4">
      <c r="A358">
        <v>106.1255</v>
      </c>
      <c r="B358">
        <v>354</v>
      </c>
      <c r="C358">
        <v>2000</v>
      </c>
      <c r="D358">
        <v>6</v>
      </c>
    </row>
    <row r="359" spans="1:4">
      <c r="A359">
        <v>108.2115</v>
      </c>
      <c r="B359">
        <v>355</v>
      </c>
      <c r="C359">
        <v>2000</v>
      </c>
      <c r="D359">
        <v>7</v>
      </c>
    </row>
    <row r="360" spans="1:4">
      <c r="A360">
        <v>108.0804</v>
      </c>
      <c r="B360">
        <v>356</v>
      </c>
      <c r="C360">
        <v>2000</v>
      </c>
      <c r="D360">
        <v>8</v>
      </c>
    </row>
    <row r="361" spans="1:4">
      <c r="A361">
        <v>106.83750000000001</v>
      </c>
      <c r="B361">
        <v>357</v>
      </c>
      <c r="C361">
        <v>2000</v>
      </c>
      <c r="D361">
        <v>9</v>
      </c>
    </row>
    <row r="362" spans="1:4">
      <c r="A362">
        <v>108.44289999999999</v>
      </c>
      <c r="B362">
        <v>358</v>
      </c>
      <c r="C362">
        <v>2000</v>
      </c>
      <c r="D362">
        <v>10</v>
      </c>
    </row>
    <row r="363" spans="1:4">
      <c r="A363">
        <v>109.0095</v>
      </c>
      <c r="B363">
        <v>359</v>
      </c>
      <c r="C363">
        <v>2000</v>
      </c>
      <c r="D363">
        <v>11</v>
      </c>
    </row>
    <row r="364" spans="1:4">
      <c r="A364">
        <v>112.209</v>
      </c>
      <c r="B364">
        <v>360</v>
      </c>
      <c r="C364">
        <v>2000</v>
      </c>
      <c r="D364">
        <v>12</v>
      </c>
    </row>
    <row r="365" spans="1:4">
      <c r="A365">
        <v>116.67189999999999</v>
      </c>
      <c r="B365">
        <v>361</v>
      </c>
      <c r="C365">
        <v>2001</v>
      </c>
      <c r="D365">
        <v>1</v>
      </c>
    </row>
    <row r="366" spans="1:4">
      <c r="A366">
        <v>116.2337</v>
      </c>
      <c r="B366">
        <v>362</v>
      </c>
      <c r="C366">
        <v>2001</v>
      </c>
      <c r="D366">
        <v>2</v>
      </c>
    </row>
    <row r="367" spans="1:4">
      <c r="A367">
        <v>121.505</v>
      </c>
      <c r="B367">
        <v>363</v>
      </c>
      <c r="C367">
        <v>2001</v>
      </c>
      <c r="D367">
        <v>3</v>
      </c>
    </row>
    <row r="368" spans="1:4">
      <c r="A368">
        <v>123.771</v>
      </c>
      <c r="B368">
        <v>364</v>
      </c>
      <c r="C368">
        <v>2001</v>
      </c>
      <c r="D368">
        <v>4</v>
      </c>
    </row>
    <row r="369" spans="1:4">
      <c r="A369">
        <v>121.76819999999999</v>
      </c>
      <c r="B369">
        <v>365</v>
      </c>
      <c r="C369">
        <v>2001</v>
      </c>
      <c r="D369">
        <v>5</v>
      </c>
    </row>
    <row r="370" spans="1:4">
      <c r="A370">
        <v>122.351</v>
      </c>
      <c r="B370">
        <v>366</v>
      </c>
      <c r="C370">
        <v>2001</v>
      </c>
      <c r="D370">
        <v>6</v>
      </c>
    </row>
    <row r="371" spans="1:4">
      <c r="A371">
        <v>124.49809999999999</v>
      </c>
      <c r="B371">
        <v>367</v>
      </c>
      <c r="C371">
        <v>2001</v>
      </c>
      <c r="D371">
        <v>7</v>
      </c>
    </row>
    <row r="372" spans="1:4">
      <c r="A372">
        <v>121.367</v>
      </c>
      <c r="B372">
        <v>368</v>
      </c>
      <c r="C372">
        <v>2001</v>
      </c>
      <c r="D372">
        <v>8</v>
      </c>
    </row>
    <row r="373" spans="1:4">
      <c r="A373">
        <v>118.6117</v>
      </c>
      <c r="B373">
        <v>369</v>
      </c>
      <c r="C373">
        <v>2001</v>
      </c>
      <c r="D373">
        <v>9</v>
      </c>
    </row>
    <row r="374" spans="1:4">
      <c r="A374">
        <v>121.45359999999999</v>
      </c>
      <c r="B374">
        <v>370</v>
      </c>
      <c r="C374">
        <v>2001</v>
      </c>
      <c r="D374">
        <v>10</v>
      </c>
    </row>
    <row r="375" spans="1:4">
      <c r="A375">
        <v>122.4055</v>
      </c>
      <c r="B375">
        <v>371</v>
      </c>
      <c r="C375">
        <v>2001</v>
      </c>
      <c r="D375">
        <v>11</v>
      </c>
    </row>
    <row r="376" spans="1:4">
      <c r="A376">
        <v>127.5945</v>
      </c>
      <c r="B376">
        <v>372</v>
      </c>
      <c r="C376">
        <v>2001</v>
      </c>
      <c r="D376">
        <v>12</v>
      </c>
    </row>
    <row r="377" spans="1:4">
      <c r="A377">
        <v>132.6833</v>
      </c>
      <c r="B377">
        <v>373</v>
      </c>
      <c r="C377">
        <v>2002</v>
      </c>
      <c r="D377">
        <v>1</v>
      </c>
    </row>
    <row r="378" spans="1:4">
      <c r="A378">
        <v>133.64259999999999</v>
      </c>
      <c r="B378">
        <v>374</v>
      </c>
      <c r="C378">
        <v>2002</v>
      </c>
      <c r="D378">
        <v>2</v>
      </c>
    </row>
    <row r="379" spans="1:4">
      <c r="A379">
        <v>131.06100000000001</v>
      </c>
      <c r="B379">
        <v>375</v>
      </c>
      <c r="C379">
        <v>2002</v>
      </c>
      <c r="D379">
        <v>3</v>
      </c>
    </row>
    <row r="380" spans="1:4">
      <c r="A380">
        <v>130.77180000000001</v>
      </c>
      <c r="B380">
        <v>376</v>
      </c>
      <c r="C380">
        <v>2002</v>
      </c>
      <c r="D380">
        <v>4</v>
      </c>
    </row>
    <row r="381" spans="1:4">
      <c r="A381">
        <v>126.375</v>
      </c>
      <c r="B381">
        <v>377</v>
      </c>
      <c r="C381">
        <v>2002</v>
      </c>
      <c r="D381">
        <v>5</v>
      </c>
    </row>
    <row r="382" spans="1:4">
      <c r="A382">
        <v>123.29049999999999</v>
      </c>
      <c r="B382">
        <v>378</v>
      </c>
      <c r="C382">
        <v>2002</v>
      </c>
      <c r="D382">
        <v>6</v>
      </c>
    </row>
    <row r="383" spans="1:4">
      <c r="A383">
        <v>117.8991</v>
      </c>
      <c r="B383">
        <v>379</v>
      </c>
      <c r="C383">
        <v>2002</v>
      </c>
      <c r="D383">
        <v>7</v>
      </c>
    </row>
    <row r="384" spans="1:4">
      <c r="A384">
        <v>118.9927</v>
      </c>
      <c r="B384">
        <v>380</v>
      </c>
      <c r="C384">
        <v>2002</v>
      </c>
      <c r="D384">
        <v>8</v>
      </c>
    </row>
    <row r="385" spans="1:4">
      <c r="A385">
        <v>121.078</v>
      </c>
      <c r="B385">
        <v>381</v>
      </c>
      <c r="C385">
        <v>2002</v>
      </c>
      <c r="D385">
        <v>9</v>
      </c>
    </row>
    <row r="386" spans="1:4">
      <c r="A386">
        <v>123.90770000000001</v>
      </c>
      <c r="B386">
        <v>382</v>
      </c>
      <c r="C386">
        <v>2002</v>
      </c>
      <c r="D386">
        <v>10</v>
      </c>
    </row>
    <row r="387" spans="1:4">
      <c r="A387">
        <v>121.6079</v>
      </c>
      <c r="B387">
        <v>383</v>
      </c>
      <c r="C387">
        <v>2002</v>
      </c>
      <c r="D387">
        <v>11</v>
      </c>
    </row>
    <row r="388" spans="1:4">
      <c r="A388">
        <v>121.8929</v>
      </c>
      <c r="B388">
        <v>384</v>
      </c>
      <c r="C388">
        <v>2002</v>
      </c>
      <c r="D388">
        <v>12</v>
      </c>
    </row>
    <row r="389" spans="1:4">
      <c r="A389">
        <v>118.8133</v>
      </c>
      <c r="B389">
        <v>385</v>
      </c>
      <c r="C389">
        <v>2003</v>
      </c>
      <c r="D389">
        <v>1</v>
      </c>
    </row>
    <row r="390" spans="1:4">
      <c r="A390">
        <v>119.3379</v>
      </c>
      <c r="B390">
        <v>386</v>
      </c>
      <c r="C390">
        <v>2003</v>
      </c>
      <c r="D390">
        <v>2</v>
      </c>
    </row>
    <row r="391" spans="1:4">
      <c r="A391">
        <v>118.6871</v>
      </c>
      <c r="B391">
        <v>387</v>
      </c>
      <c r="C391">
        <v>2003</v>
      </c>
      <c r="D391">
        <v>3</v>
      </c>
    </row>
    <row r="392" spans="1:4">
      <c r="A392">
        <v>119.895</v>
      </c>
      <c r="B392">
        <v>388</v>
      </c>
      <c r="C392">
        <v>2003</v>
      </c>
      <c r="D392">
        <v>4</v>
      </c>
    </row>
    <row r="393" spans="1:4">
      <c r="A393">
        <v>117.3681</v>
      </c>
      <c r="B393">
        <v>389</v>
      </c>
      <c r="C393">
        <v>2003</v>
      </c>
      <c r="D393">
        <v>5</v>
      </c>
    </row>
    <row r="394" spans="1:4">
      <c r="A394">
        <v>118.32899999999999</v>
      </c>
      <c r="B394">
        <v>390</v>
      </c>
      <c r="C394">
        <v>2003</v>
      </c>
      <c r="D394">
        <v>6</v>
      </c>
    </row>
    <row r="395" spans="1:4">
      <c r="A395">
        <v>118.69589999999999</v>
      </c>
      <c r="B395">
        <v>391</v>
      </c>
      <c r="C395">
        <v>2003</v>
      </c>
      <c r="D395">
        <v>7</v>
      </c>
    </row>
    <row r="396" spans="1:4">
      <c r="A396">
        <v>118.66240000000001</v>
      </c>
      <c r="B396">
        <v>392</v>
      </c>
      <c r="C396">
        <v>2003</v>
      </c>
      <c r="D396">
        <v>8</v>
      </c>
    </row>
    <row r="397" spans="1:4">
      <c r="A397">
        <v>114.8</v>
      </c>
      <c r="B397">
        <v>393</v>
      </c>
      <c r="C397">
        <v>2003</v>
      </c>
      <c r="D397">
        <v>9</v>
      </c>
    </row>
    <row r="398" spans="1:4">
      <c r="A398">
        <v>109.49550000000001</v>
      </c>
      <c r="B398">
        <v>394</v>
      </c>
      <c r="C398">
        <v>2003</v>
      </c>
      <c r="D398">
        <v>10</v>
      </c>
    </row>
    <row r="399" spans="1:4">
      <c r="A399">
        <v>109.1778</v>
      </c>
      <c r="B399">
        <v>395</v>
      </c>
      <c r="C399">
        <v>2003</v>
      </c>
      <c r="D399">
        <v>11</v>
      </c>
    </row>
    <row r="400" spans="1:4">
      <c r="A400">
        <v>107.7377</v>
      </c>
      <c r="B400">
        <v>396</v>
      </c>
      <c r="C400">
        <v>2003</v>
      </c>
      <c r="D400">
        <v>12</v>
      </c>
    </row>
    <row r="401" spans="1:4">
      <c r="A401">
        <v>106.2685</v>
      </c>
      <c r="B401">
        <v>397</v>
      </c>
      <c r="C401">
        <v>2004</v>
      </c>
      <c r="D401">
        <v>1</v>
      </c>
    </row>
    <row r="402" spans="1:4">
      <c r="A402">
        <v>106.7079</v>
      </c>
      <c r="B402">
        <v>398</v>
      </c>
      <c r="C402">
        <v>2004</v>
      </c>
      <c r="D402">
        <v>2</v>
      </c>
    </row>
    <row r="403" spans="1:4">
      <c r="A403">
        <v>108.5157</v>
      </c>
      <c r="B403">
        <v>399</v>
      </c>
      <c r="C403">
        <v>2004</v>
      </c>
      <c r="D403">
        <v>3</v>
      </c>
    </row>
    <row r="404" spans="1:4">
      <c r="A404">
        <v>107.6564</v>
      </c>
      <c r="B404">
        <v>400</v>
      </c>
      <c r="C404">
        <v>2004</v>
      </c>
      <c r="D404">
        <v>4</v>
      </c>
    </row>
    <row r="405" spans="1:4">
      <c r="A405">
        <v>112.196</v>
      </c>
      <c r="B405">
        <v>401</v>
      </c>
      <c r="C405">
        <v>2004</v>
      </c>
      <c r="D405">
        <v>5</v>
      </c>
    </row>
    <row r="406" spans="1:4">
      <c r="A406">
        <v>109.4336</v>
      </c>
      <c r="B406">
        <v>402</v>
      </c>
      <c r="C406">
        <v>2004</v>
      </c>
      <c r="D406">
        <v>6</v>
      </c>
    </row>
    <row r="407" spans="1:4">
      <c r="A407">
        <v>109.4871</v>
      </c>
      <c r="B407">
        <v>403</v>
      </c>
      <c r="C407">
        <v>2004</v>
      </c>
      <c r="D407">
        <v>7</v>
      </c>
    </row>
    <row r="408" spans="1:4">
      <c r="A408">
        <v>110.2336</v>
      </c>
      <c r="B408">
        <v>404</v>
      </c>
      <c r="C408">
        <v>2004</v>
      </c>
      <c r="D408">
        <v>8</v>
      </c>
    </row>
    <row r="409" spans="1:4">
      <c r="A409">
        <v>110.09139999999999</v>
      </c>
      <c r="B409">
        <v>405</v>
      </c>
      <c r="C409">
        <v>2004</v>
      </c>
      <c r="D409">
        <v>9</v>
      </c>
    </row>
    <row r="410" spans="1:4">
      <c r="A410">
        <v>108.7835</v>
      </c>
      <c r="B410">
        <v>406</v>
      </c>
      <c r="C410">
        <v>2004</v>
      </c>
      <c r="D410">
        <v>10</v>
      </c>
    </row>
    <row r="411" spans="1:4">
      <c r="A411">
        <v>104.699</v>
      </c>
      <c r="B411">
        <v>407</v>
      </c>
      <c r="C411">
        <v>2004</v>
      </c>
      <c r="D411">
        <v>11</v>
      </c>
    </row>
    <row r="412" spans="1:4">
      <c r="A412">
        <v>103.8104</v>
      </c>
      <c r="B412">
        <v>408</v>
      </c>
      <c r="C412">
        <v>2004</v>
      </c>
      <c r="D412">
        <v>12</v>
      </c>
    </row>
    <row r="413" spans="1:4">
      <c r="A413">
        <v>103.34099999999999</v>
      </c>
      <c r="B413">
        <v>409</v>
      </c>
      <c r="C413">
        <v>2005</v>
      </c>
      <c r="D413">
        <v>1</v>
      </c>
    </row>
    <row r="414" spans="1:4">
      <c r="A414">
        <v>104.9442</v>
      </c>
      <c r="B414">
        <v>410</v>
      </c>
      <c r="C414">
        <v>2005</v>
      </c>
      <c r="D414">
        <v>2</v>
      </c>
    </row>
    <row r="415" spans="1:4">
      <c r="A415">
        <v>105.2543</v>
      </c>
      <c r="B415">
        <v>411</v>
      </c>
      <c r="C415">
        <v>2005</v>
      </c>
      <c r="D415">
        <v>3</v>
      </c>
    </row>
    <row r="416" spans="1:4">
      <c r="A416">
        <v>107.1938</v>
      </c>
      <c r="B416">
        <v>412</v>
      </c>
      <c r="C416">
        <v>2005</v>
      </c>
      <c r="D416">
        <v>4</v>
      </c>
    </row>
    <row r="417" spans="1:4">
      <c r="A417">
        <v>106.59520000000001</v>
      </c>
      <c r="B417">
        <v>413</v>
      </c>
      <c r="C417">
        <v>2005</v>
      </c>
      <c r="D417">
        <v>5</v>
      </c>
    </row>
    <row r="418" spans="1:4">
      <c r="A418">
        <v>108.7473</v>
      </c>
      <c r="B418">
        <v>414</v>
      </c>
      <c r="C418">
        <v>2005</v>
      </c>
      <c r="D418">
        <v>6</v>
      </c>
    </row>
    <row r="419" spans="1:4">
      <c r="A419">
        <v>111.95350000000001</v>
      </c>
      <c r="B419">
        <v>415</v>
      </c>
      <c r="C419">
        <v>2005</v>
      </c>
      <c r="D419">
        <v>7</v>
      </c>
    </row>
    <row r="420" spans="1:4">
      <c r="A420">
        <v>110.6065</v>
      </c>
      <c r="B420">
        <v>416</v>
      </c>
      <c r="C420">
        <v>2005</v>
      </c>
      <c r="D420">
        <v>8</v>
      </c>
    </row>
    <row r="421" spans="1:4">
      <c r="A421">
        <v>111.239</v>
      </c>
      <c r="B421">
        <v>417</v>
      </c>
      <c r="C421">
        <v>2005</v>
      </c>
      <c r="D421">
        <v>9</v>
      </c>
    </row>
    <row r="422" spans="1:4">
      <c r="A422">
        <v>114.8695</v>
      </c>
      <c r="B422">
        <v>418</v>
      </c>
      <c r="C422">
        <v>2005</v>
      </c>
      <c r="D422">
        <v>10</v>
      </c>
    </row>
    <row r="423" spans="1:4">
      <c r="A423">
        <v>118.45399999999999</v>
      </c>
      <c r="B423">
        <v>419</v>
      </c>
      <c r="C423">
        <v>2005</v>
      </c>
      <c r="D423">
        <v>11</v>
      </c>
    </row>
    <row r="424" spans="1:4">
      <c r="A424">
        <v>118.4624</v>
      </c>
      <c r="B424">
        <v>420</v>
      </c>
      <c r="C424">
        <v>2005</v>
      </c>
      <c r="D424">
        <v>12</v>
      </c>
    </row>
    <row r="425" spans="1:4">
      <c r="A425">
        <v>115.4765</v>
      </c>
      <c r="B425">
        <v>421</v>
      </c>
      <c r="C425">
        <v>2006</v>
      </c>
      <c r="D425">
        <v>1</v>
      </c>
    </row>
    <row r="426" spans="1:4">
      <c r="A426">
        <v>117.8605</v>
      </c>
      <c r="B426">
        <v>422</v>
      </c>
      <c r="C426">
        <v>2006</v>
      </c>
      <c r="D426">
        <v>2</v>
      </c>
    </row>
    <row r="427" spans="1:4">
      <c r="A427">
        <v>117.2778</v>
      </c>
      <c r="B427">
        <v>423</v>
      </c>
      <c r="C427">
        <v>2006</v>
      </c>
      <c r="D427">
        <v>3</v>
      </c>
    </row>
    <row r="428" spans="1:4">
      <c r="A428">
        <v>117.06950000000001</v>
      </c>
      <c r="B428">
        <v>424</v>
      </c>
      <c r="C428">
        <v>2006</v>
      </c>
      <c r="D428">
        <v>4</v>
      </c>
    </row>
    <row r="429" spans="1:4">
      <c r="A429">
        <v>111.73050000000001</v>
      </c>
      <c r="B429">
        <v>425</v>
      </c>
      <c r="C429">
        <v>2006</v>
      </c>
      <c r="D429">
        <v>5</v>
      </c>
    </row>
    <row r="430" spans="1:4">
      <c r="A430">
        <v>114.625</v>
      </c>
      <c r="B430">
        <v>426</v>
      </c>
      <c r="C430">
        <v>2006</v>
      </c>
      <c r="D430">
        <v>6</v>
      </c>
    </row>
    <row r="431" spans="1:4">
      <c r="A431">
        <v>115.767</v>
      </c>
      <c r="B431">
        <v>427</v>
      </c>
      <c r="C431">
        <v>2006</v>
      </c>
      <c r="D431">
        <v>7</v>
      </c>
    </row>
    <row r="432" spans="1:4">
      <c r="A432">
        <v>115.9243</v>
      </c>
      <c r="B432">
        <v>428</v>
      </c>
      <c r="C432">
        <v>2006</v>
      </c>
      <c r="D432">
        <v>8</v>
      </c>
    </row>
    <row r="433" spans="1:4">
      <c r="A433">
        <v>117.2145</v>
      </c>
      <c r="B433">
        <v>429</v>
      </c>
      <c r="C433">
        <v>2006</v>
      </c>
      <c r="D433">
        <v>9</v>
      </c>
    </row>
    <row r="434" spans="1:4">
      <c r="A434">
        <v>118.60899999999999</v>
      </c>
      <c r="B434">
        <v>430</v>
      </c>
      <c r="C434">
        <v>2006</v>
      </c>
      <c r="D434">
        <v>10</v>
      </c>
    </row>
    <row r="435" spans="1:4">
      <c r="A435">
        <v>117.3205</v>
      </c>
      <c r="B435">
        <v>431</v>
      </c>
      <c r="C435">
        <v>2006</v>
      </c>
      <c r="D435">
        <v>11</v>
      </c>
    </row>
    <row r="436" spans="1:4">
      <c r="A436">
        <v>117.322</v>
      </c>
      <c r="B436">
        <v>432</v>
      </c>
      <c r="C436">
        <v>2006</v>
      </c>
      <c r="D436">
        <v>12</v>
      </c>
    </row>
    <row r="437" spans="1:4">
      <c r="A437">
        <v>120.44710000000001</v>
      </c>
      <c r="B437">
        <v>433</v>
      </c>
      <c r="C437">
        <v>2007</v>
      </c>
      <c r="D437">
        <v>1</v>
      </c>
    </row>
    <row r="438" spans="1:4">
      <c r="A438">
        <v>120.5047</v>
      </c>
      <c r="B438">
        <v>434</v>
      </c>
      <c r="C438">
        <v>2007</v>
      </c>
      <c r="D438">
        <v>2</v>
      </c>
    </row>
    <row r="439" spans="1:4">
      <c r="A439">
        <v>117.26</v>
      </c>
      <c r="B439">
        <v>435</v>
      </c>
      <c r="C439">
        <v>2007</v>
      </c>
      <c r="D439">
        <v>3</v>
      </c>
    </row>
    <row r="440" spans="1:4">
      <c r="A440">
        <v>118.9324</v>
      </c>
      <c r="B440">
        <v>436</v>
      </c>
      <c r="C440">
        <v>2007</v>
      </c>
      <c r="D440">
        <v>4</v>
      </c>
    </row>
    <row r="441" spans="1:4">
      <c r="A441">
        <v>120.7732</v>
      </c>
      <c r="B441">
        <v>437</v>
      </c>
      <c r="C441">
        <v>2007</v>
      </c>
      <c r="D441">
        <v>5</v>
      </c>
    </row>
    <row r="442" spans="1:4">
      <c r="A442">
        <v>122.68859999999999</v>
      </c>
      <c r="B442">
        <v>438</v>
      </c>
      <c r="C442">
        <v>2007</v>
      </c>
      <c r="D442">
        <v>6</v>
      </c>
    </row>
    <row r="443" spans="1:4">
      <c r="A443">
        <v>121.4148</v>
      </c>
      <c r="B443">
        <v>439</v>
      </c>
      <c r="C443">
        <v>2007</v>
      </c>
      <c r="D443">
        <v>7</v>
      </c>
    </row>
    <row r="444" spans="1:4">
      <c r="A444">
        <v>116.73350000000001</v>
      </c>
      <c r="B444">
        <v>440</v>
      </c>
      <c r="C444">
        <v>2007</v>
      </c>
      <c r="D444">
        <v>8</v>
      </c>
    </row>
    <row r="445" spans="1:4">
      <c r="A445">
        <v>115.04349999999999</v>
      </c>
      <c r="B445">
        <v>441</v>
      </c>
      <c r="C445">
        <v>2007</v>
      </c>
      <c r="D445">
        <v>9</v>
      </c>
    </row>
    <row r="446" spans="1:4">
      <c r="A446">
        <v>115.8661</v>
      </c>
      <c r="B446">
        <v>442</v>
      </c>
      <c r="C446">
        <v>2007</v>
      </c>
      <c r="D446">
        <v>10</v>
      </c>
    </row>
    <row r="447" spans="1:4">
      <c r="A447">
        <v>111.0729</v>
      </c>
      <c r="B447">
        <v>443</v>
      </c>
      <c r="C447">
        <v>2007</v>
      </c>
      <c r="D447">
        <v>11</v>
      </c>
    </row>
    <row r="448" spans="1:4">
      <c r="A448">
        <v>112.449</v>
      </c>
      <c r="B448">
        <v>444</v>
      </c>
      <c r="C448">
        <v>2007</v>
      </c>
      <c r="D448">
        <v>12</v>
      </c>
    </row>
    <row r="449" spans="1:4">
      <c r="A449">
        <v>107.8181</v>
      </c>
      <c r="B449">
        <v>445</v>
      </c>
      <c r="C449">
        <v>2008</v>
      </c>
      <c r="D449">
        <v>1</v>
      </c>
    </row>
    <row r="450" spans="1:4">
      <c r="A450">
        <v>107.03</v>
      </c>
      <c r="B450">
        <v>446</v>
      </c>
      <c r="C450">
        <v>2008</v>
      </c>
      <c r="D450">
        <v>2</v>
      </c>
    </row>
    <row r="451" spans="1:4">
      <c r="A451">
        <v>100.75620000000001</v>
      </c>
      <c r="B451">
        <v>447</v>
      </c>
      <c r="C451">
        <v>2008</v>
      </c>
      <c r="D451">
        <v>3</v>
      </c>
    </row>
    <row r="452" spans="1:4">
      <c r="A452">
        <v>102.6777</v>
      </c>
      <c r="B452">
        <v>448</v>
      </c>
      <c r="C452">
        <v>2008</v>
      </c>
      <c r="D452">
        <v>4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01D7-1210-4760-BF6A-6F9723111C8C}">
  <dimension ref="A1:D327"/>
  <sheetViews>
    <sheetView workbookViewId="0">
      <selection activeCell="D327" sqref="D327"/>
    </sheetView>
  </sheetViews>
  <sheetFormatPr defaultRowHeight="15"/>
  <sheetData>
    <row r="1" spans="1:4">
      <c r="A1" t="s">
        <v>1244</v>
      </c>
    </row>
    <row r="3" spans="1:4">
      <c r="A3" t="s">
        <v>63</v>
      </c>
      <c r="B3" t="s">
        <v>108</v>
      </c>
      <c r="C3" t="s">
        <v>1245</v>
      </c>
      <c r="D3" t="s">
        <v>1246</v>
      </c>
    </row>
    <row r="4" spans="1:4">
      <c r="A4">
        <v>1981</v>
      </c>
      <c r="B4">
        <v>1</v>
      </c>
      <c r="C4">
        <v>15.02</v>
      </c>
      <c r="D4">
        <v>14.08</v>
      </c>
    </row>
    <row r="5" spans="1:4">
      <c r="A5">
        <v>1981</v>
      </c>
      <c r="B5">
        <v>2</v>
      </c>
      <c r="C5">
        <v>14.79</v>
      </c>
      <c r="D5">
        <v>14.05</v>
      </c>
    </row>
    <row r="6" spans="1:4">
      <c r="A6">
        <v>1981</v>
      </c>
      <c r="B6">
        <v>3</v>
      </c>
      <c r="C6">
        <v>13.36</v>
      </c>
      <c r="D6">
        <v>12.81</v>
      </c>
    </row>
    <row r="7" spans="1:4">
      <c r="A7">
        <v>1981</v>
      </c>
      <c r="B7">
        <v>4</v>
      </c>
      <c r="C7">
        <v>13.69</v>
      </c>
      <c r="D7">
        <v>13.45</v>
      </c>
    </row>
    <row r="8" spans="1:4">
      <c r="A8">
        <v>1981</v>
      </c>
      <c r="B8">
        <v>5</v>
      </c>
      <c r="C8">
        <v>16.3</v>
      </c>
      <c r="D8">
        <v>15.29</v>
      </c>
    </row>
    <row r="9" spans="1:4">
      <c r="A9">
        <v>1981</v>
      </c>
      <c r="B9">
        <v>6</v>
      </c>
      <c r="C9">
        <v>14.73</v>
      </c>
      <c r="D9">
        <v>14.09</v>
      </c>
    </row>
    <row r="10" spans="1:4">
      <c r="A10">
        <v>1981</v>
      </c>
      <c r="B10">
        <v>7</v>
      </c>
      <c r="C10">
        <v>14.95</v>
      </c>
      <c r="D10">
        <v>14.74</v>
      </c>
    </row>
    <row r="11" spans="1:4">
      <c r="A11">
        <v>1981</v>
      </c>
      <c r="B11">
        <v>8</v>
      </c>
      <c r="C11">
        <v>15.51</v>
      </c>
      <c r="D11">
        <v>15.52</v>
      </c>
    </row>
    <row r="12" spans="1:4">
      <c r="A12">
        <v>1981</v>
      </c>
      <c r="B12">
        <v>9</v>
      </c>
      <c r="C12">
        <v>14.7</v>
      </c>
      <c r="D12">
        <v>14.92</v>
      </c>
    </row>
    <row r="13" spans="1:4">
      <c r="A13">
        <v>1981</v>
      </c>
      <c r="B13">
        <v>10</v>
      </c>
      <c r="C13">
        <v>13.54</v>
      </c>
      <c r="D13">
        <v>13.82</v>
      </c>
    </row>
    <row r="14" spans="1:4">
      <c r="A14">
        <v>1981</v>
      </c>
      <c r="B14">
        <v>11</v>
      </c>
      <c r="C14">
        <v>10.86</v>
      </c>
      <c r="D14">
        <v>11.3</v>
      </c>
    </row>
    <row r="15" spans="1:4">
      <c r="A15">
        <v>1981</v>
      </c>
      <c r="B15">
        <v>12</v>
      </c>
      <c r="C15">
        <v>10.85</v>
      </c>
      <c r="D15">
        <v>11.52</v>
      </c>
    </row>
    <row r="16" spans="1:4">
      <c r="A16">
        <v>1982</v>
      </c>
      <c r="B16">
        <v>1</v>
      </c>
      <c r="C16">
        <v>12.28</v>
      </c>
      <c r="D16">
        <v>12.83</v>
      </c>
    </row>
    <row r="17" spans="1:4">
      <c r="A17">
        <v>1982</v>
      </c>
      <c r="B17">
        <v>2</v>
      </c>
      <c r="C17">
        <v>13.48</v>
      </c>
      <c r="D17">
        <v>13.61</v>
      </c>
    </row>
    <row r="18" spans="1:4">
      <c r="A18">
        <v>1982</v>
      </c>
      <c r="B18">
        <v>3</v>
      </c>
      <c r="C18">
        <v>12.68</v>
      </c>
      <c r="D18">
        <v>12.77</v>
      </c>
    </row>
    <row r="19" spans="1:4">
      <c r="A19">
        <v>1982</v>
      </c>
      <c r="B19">
        <v>4</v>
      </c>
      <c r="C19">
        <v>12.7</v>
      </c>
      <c r="D19">
        <v>12.8</v>
      </c>
    </row>
    <row r="20" spans="1:4">
      <c r="A20">
        <v>1982</v>
      </c>
      <c r="B20">
        <v>5</v>
      </c>
      <c r="C20">
        <v>12.09</v>
      </c>
      <c r="D20">
        <v>12.16</v>
      </c>
    </row>
    <row r="21" spans="1:4">
      <c r="A21">
        <v>1982</v>
      </c>
      <c r="B21">
        <v>6</v>
      </c>
      <c r="C21">
        <v>12.47</v>
      </c>
      <c r="D21">
        <v>12.7</v>
      </c>
    </row>
    <row r="22" spans="1:4">
      <c r="A22">
        <v>1982</v>
      </c>
      <c r="B22">
        <v>7</v>
      </c>
      <c r="C22">
        <v>11.35</v>
      </c>
      <c r="D22">
        <v>11.88</v>
      </c>
    </row>
    <row r="23" spans="1:4">
      <c r="A23">
        <v>1982</v>
      </c>
      <c r="B23">
        <v>8</v>
      </c>
      <c r="C23">
        <v>8.68</v>
      </c>
      <c r="D23">
        <v>9.8800000000000008</v>
      </c>
    </row>
    <row r="24" spans="1:4">
      <c r="A24">
        <v>1982</v>
      </c>
      <c r="B24">
        <v>9</v>
      </c>
      <c r="C24">
        <v>7.92</v>
      </c>
      <c r="D24">
        <v>9.3699999999999992</v>
      </c>
    </row>
    <row r="25" spans="1:4">
      <c r="A25">
        <v>1982</v>
      </c>
      <c r="B25">
        <v>10</v>
      </c>
      <c r="C25">
        <v>7.71</v>
      </c>
      <c r="D25">
        <v>8.2899999999999991</v>
      </c>
    </row>
    <row r="26" spans="1:4">
      <c r="A26">
        <v>1982</v>
      </c>
      <c r="B26">
        <v>11</v>
      </c>
      <c r="C26">
        <v>8.07</v>
      </c>
      <c r="D26">
        <v>8.34</v>
      </c>
    </row>
    <row r="27" spans="1:4">
      <c r="A27">
        <v>1982</v>
      </c>
      <c r="B27">
        <v>12</v>
      </c>
      <c r="C27">
        <v>7.94</v>
      </c>
      <c r="D27">
        <v>8.16</v>
      </c>
    </row>
    <row r="28" spans="1:4">
      <c r="A28">
        <v>1983</v>
      </c>
      <c r="B28">
        <v>1</v>
      </c>
      <c r="C28">
        <v>7.86</v>
      </c>
      <c r="D28">
        <v>7.93</v>
      </c>
    </row>
    <row r="29" spans="1:4">
      <c r="A29">
        <v>1983</v>
      </c>
      <c r="B29">
        <v>2</v>
      </c>
      <c r="C29">
        <v>8.11</v>
      </c>
      <c r="D29">
        <v>8.23</v>
      </c>
    </row>
    <row r="30" spans="1:4">
      <c r="A30">
        <v>1983</v>
      </c>
      <c r="B30">
        <v>3</v>
      </c>
      <c r="C30">
        <v>8.35</v>
      </c>
      <c r="D30">
        <v>8.3699999999999992</v>
      </c>
    </row>
    <row r="31" spans="1:4">
      <c r="A31">
        <v>1983</v>
      </c>
      <c r="B31">
        <v>4</v>
      </c>
      <c r="C31">
        <v>8.2100000000000009</v>
      </c>
      <c r="D31">
        <v>8.3000000000000007</v>
      </c>
    </row>
    <row r="32" spans="1:4">
      <c r="A32">
        <v>1983</v>
      </c>
      <c r="B32">
        <v>5</v>
      </c>
      <c r="C32">
        <v>8.19</v>
      </c>
      <c r="D32">
        <v>8.2200000000000006</v>
      </c>
    </row>
    <row r="33" spans="1:4">
      <c r="A33">
        <v>1983</v>
      </c>
      <c r="B33">
        <v>6</v>
      </c>
      <c r="C33">
        <v>8.7899999999999991</v>
      </c>
      <c r="D33">
        <v>8.89</v>
      </c>
    </row>
    <row r="34" spans="1:4">
      <c r="A34">
        <v>1983</v>
      </c>
      <c r="B34">
        <v>7</v>
      </c>
      <c r="C34">
        <v>9.08</v>
      </c>
      <c r="D34">
        <v>9.26</v>
      </c>
    </row>
    <row r="35" spans="1:4">
      <c r="A35">
        <v>1983</v>
      </c>
      <c r="B35">
        <v>8</v>
      </c>
      <c r="C35">
        <v>9.34</v>
      </c>
      <c r="D35">
        <v>9.51</v>
      </c>
    </row>
    <row r="36" spans="1:4">
      <c r="A36">
        <v>1983</v>
      </c>
      <c r="B36">
        <v>9</v>
      </c>
      <c r="C36">
        <v>9</v>
      </c>
      <c r="D36">
        <v>9.15</v>
      </c>
    </row>
    <row r="37" spans="1:4">
      <c r="A37">
        <v>1983</v>
      </c>
      <c r="B37">
        <v>10</v>
      </c>
      <c r="C37">
        <v>8.64</v>
      </c>
      <c r="D37">
        <v>8.83</v>
      </c>
    </row>
    <row r="38" spans="1:4">
      <c r="A38">
        <v>1983</v>
      </c>
      <c r="B38">
        <v>11</v>
      </c>
      <c r="C38">
        <v>8.76</v>
      </c>
      <c r="D38">
        <v>8.93</v>
      </c>
    </row>
    <row r="39" spans="1:4">
      <c r="A39">
        <v>1983</v>
      </c>
      <c r="B39">
        <v>12</v>
      </c>
      <c r="C39">
        <v>9</v>
      </c>
      <c r="D39">
        <v>9.17</v>
      </c>
    </row>
    <row r="40" spans="1:4">
      <c r="A40">
        <v>1984</v>
      </c>
      <c r="B40">
        <v>1</v>
      </c>
      <c r="C40">
        <v>8.9</v>
      </c>
      <c r="D40">
        <v>9.01</v>
      </c>
    </row>
    <row r="41" spans="1:4">
      <c r="A41">
        <v>1984</v>
      </c>
      <c r="B41">
        <v>2</v>
      </c>
      <c r="C41">
        <v>9.09</v>
      </c>
      <c r="D41">
        <v>9.18</v>
      </c>
    </row>
    <row r="42" spans="1:4">
      <c r="A42">
        <v>1984</v>
      </c>
      <c r="B42">
        <v>3</v>
      </c>
      <c r="C42">
        <v>9.52</v>
      </c>
      <c r="D42">
        <v>9.66</v>
      </c>
    </row>
    <row r="43" spans="1:4">
      <c r="A43">
        <v>1984</v>
      </c>
      <c r="B43">
        <v>4</v>
      </c>
      <c r="C43">
        <v>9.69</v>
      </c>
      <c r="D43">
        <v>9.84</v>
      </c>
    </row>
    <row r="44" spans="1:4">
      <c r="A44">
        <v>1984</v>
      </c>
      <c r="B44">
        <v>5</v>
      </c>
      <c r="C44">
        <v>9.83</v>
      </c>
      <c r="D44">
        <v>10.31</v>
      </c>
    </row>
    <row r="45" spans="1:4">
      <c r="A45">
        <v>1984</v>
      </c>
      <c r="B45">
        <v>6</v>
      </c>
      <c r="C45">
        <v>9.8699999999999992</v>
      </c>
      <c r="D45">
        <v>10.51</v>
      </c>
    </row>
    <row r="46" spans="1:4">
      <c r="A46">
        <v>1984</v>
      </c>
      <c r="B46">
        <v>7</v>
      </c>
      <c r="C46">
        <v>10.119999999999999</v>
      </c>
      <c r="D46">
        <v>10.52</v>
      </c>
    </row>
    <row r="47" spans="1:4">
      <c r="A47">
        <v>1984</v>
      </c>
      <c r="B47">
        <v>8</v>
      </c>
      <c r="C47">
        <v>10.47</v>
      </c>
      <c r="D47">
        <v>10.61</v>
      </c>
    </row>
    <row r="48" spans="1:4">
      <c r="A48">
        <v>1984</v>
      </c>
      <c r="B48">
        <v>9</v>
      </c>
      <c r="C48">
        <v>10.37</v>
      </c>
      <c r="D48">
        <v>10.47</v>
      </c>
    </row>
    <row r="49" spans="1:4">
      <c r="A49">
        <v>1984</v>
      </c>
      <c r="B49">
        <v>10</v>
      </c>
      <c r="C49">
        <v>9.74</v>
      </c>
      <c r="D49">
        <v>9.8699999999999992</v>
      </c>
    </row>
    <row r="50" spans="1:4">
      <c r="A50">
        <v>1984</v>
      </c>
      <c r="B50">
        <v>11</v>
      </c>
      <c r="C50">
        <v>8.61</v>
      </c>
      <c r="D50">
        <v>8.81</v>
      </c>
    </row>
    <row r="51" spans="1:4">
      <c r="A51">
        <v>1984</v>
      </c>
      <c r="B51">
        <v>12</v>
      </c>
      <c r="C51">
        <v>8.06</v>
      </c>
      <c r="D51">
        <v>8.2799999999999994</v>
      </c>
    </row>
    <row r="52" spans="1:4">
      <c r="A52">
        <v>1985</v>
      </c>
      <c r="B52">
        <v>1</v>
      </c>
      <c r="C52">
        <v>7.76</v>
      </c>
      <c r="D52">
        <v>8</v>
      </c>
    </row>
    <row r="53" spans="1:4">
      <c r="A53">
        <v>1985</v>
      </c>
      <c r="B53">
        <v>2</v>
      </c>
      <c r="C53">
        <v>8.27</v>
      </c>
      <c r="D53">
        <v>8.39</v>
      </c>
    </row>
    <row r="54" spans="1:4">
      <c r="A54">
        <v>1985</v>
      </c>
      <c r="B54">
        <v>3</v>
      </c>
      <c r="C54">
        <v>8.52</v>
      </c>
      <c r="D54">
        <v>8.9</v>
      </c>
    </row>
    <row r="55" spans="1:4">
      <c r="A55">
        <v>1985</v>
      </c>
      <c r="B55">
        <v>4</v>
      </c>
      <c r="C55">
        <v>7.95</v>
      </c>
      <c r="D55">
        <v>8.23</v>
      </c>
    </row>
    <row r="56" spans="1:4">
      <c r="A56">
        <v>1985</v>
      </c>
      <c r="B56">
        <v>5</v>
      </c>
      <c r="C56">
        <v>7.48</v>
      </c>
      <c r="D56">
        <v>7.65</v>
      </c>
    </row>
    <row r="57" spans="1:4">
      <c r="A57">
        <v>1985</v>
      </c>
      <c r="B57">
        <v>6</v>
      </c>
      <c r="C57">
        <v>6.95</v>
      </c>
      <c r="D57">
        <v>7.09</v>
      </c>
    </row>
    <row r="58" spans="1:4">
      <c r="A58">
        <v>1985</v>
      </c>
      <c r="B58">
        <v>7</v>
      </c>
      <c r="C58">
        <v>7.08</v>
      </c>
      <c r="D58">
        <v>7.2</v>
      </c>
    </row>
    <row r="59" spans="1:4">
      <c r="A59">
        <v>1985</v>
      </c>
      <c r="B59">
        <v>8</v>
      </c>
      <c r="C59">
        <v>7.14</v>
      </c>
      <c r="D59">
        <v>7.32</v>
      </c>
    </row>
    <row r="60" spans="1:4">
      <c r="A60">
        <v>1985</v>
      </c>
      <c r="B60">
        <v>9</v>
      </c>
      <c r="C60">
        <v>7.1</v>
      </c>
      <c r="D60">
        <v>7.27</v>
      </c>
    </row>
    <row r="61" spans="1:4">
      <c r="A61">
        <v>1985</v>
      </c>
      <c r="B61">
        <v>10</v>
      </c>
      <c r="C61">
        <v>7.16</v>
      </c>
      <c r="D61">
        <v>7.33</v>
      </c>
    </row>
    <row r="62" spans="1:4">
      <c r="A62">
        <v>1985</v>
      </c>
      <c r="B62">
        <v>11</v>
      </c>
      <c r="C62">
        <v>7.24</v>
      </c>
      <c r="D62">
        <v>7.3</v>
      </c>
    </row>
    <row r="63" spans="1:4">
      <c r="A63">
        <v>1985</v>
      </c>
      <c r="B63">
        <v>12</v>
      </c>
      <c r="C63">
        <v>7.1</v>
      </c>
      <c r="D63">
        <v>7.14</v>
      </c>
    </row>
    <row r="64" spans="1:4">
      <c r="A64">
        <v>1986</v>
      </c>
      <c r="B64">
        <v>1</v>
      </c>
      <c r="C64">
        <v>7.07</v>
      </c>
      <c r="D64">
        <v>7.16</v>
      </c>
    </row>
    <row r="65" spans="1:4">
      <c r="A65">
        <v>1986</v>
      </c>
      <c r="B65">
        <v>2</v>
      </c>
      <c r="C65">
        <v>7.06</v>
      </c>
      <c r="D65">
        <v>7.11</v>
      </c>
    </row>
    <row r="66" spans="1:4">
      <c r="A66">
        <v>1986</v>
      </c>
      <c r="B66">
        <v>3</v>
      </c>
      <c r="C66">
        <v>6.56</v>
      </c>
      <c r="D66">
        <v>6.57</v>
      </c>
    </row>
    <row r="67" spans="1:4">
      <c r="A67">
        <v>1986</v>
      </c>
      <c r="B67">
        <v>4</v>
      </c>
      <c r="C67">
        <v>6.06</v>
      </c>
      <c r="D67">
        <v>6.08</v>
      </c>
    </row>
    <row r="68" spans="1:4">
      <c r="A68">
        <v>1986</v>
      </c>
      <c r="B68">
        <v>5</v>
      </c>
      <c r="C68">
        <v>6.15</v>
      </c>
      <c r="D68">
        <v>6.19</v>
      </c>
    </row>
    <row r="69" spans="1:4">
      <c r="A69">
        <v>1986</v>
      </c>
      <c r="B69">
        <v>6</v>
      </c>
      <c r="C69">
        <v>6.21</v>
      </c>
      <c r="D69">
        <v>6.27</v>
      </c>
    </row>
    <row r="70" spans="1:4">
      <c r="A70">
        <v>1986</v>
      </c>
      <c r="B70">
        <v>7</v>
      </c>
      <c r="C70">
        <v>5.83</v>
      </c>
      <c r="D70">
        <v>5.86</v>
      </c>
    </row>
    <row r="71" spans="1:4">
      <c r="A71">
        <v>1986</v>
      </c>
      <c r="B71">
        <v>8</v>
      </c>
      <c r="C71">
        <v>5.53</v>
      </c>
      <c r="D71">
        <v>5.55</v>
      </c>
    </row>
    <row r="72" spans="1:4">
      <c r="A72">
        <v>1986</v>
      </c>
      <c r="B72">
        <v>9</v>
      </c>
      <c r="C72">
        <v>5.21</v>
      </c>
      <c r="D72">
        <v>5.35</v>
      </c>
    </row>
    <row r="73" spans="1:4">
      <c r="A73">
        <v>1986</v>
      </c>
      <c r="B73">
        <v>10</v>
      </c>
      <c r="C73">
        <v>5.18</v>
      </c>
      <c r="D73">
        <v>5.26</v>
      </c>
    </row>
    <row r="74" spans="1:4">
      <c r="A74">
        <v>1986</v>
      </c>
      <c r="B74">
        <v>11</v>
      </c>
      <c r="C74">
        <v>5.35</v>
      </c>
      <c r="D74">
        <v>5.41</v>
      </c>
    </row>
    <row r="75" spans="1:4">
      <c r="A75">
        <v>1986</v>
      </c>
      <c r="B75">
        <v>12</v>
      </c>
      <c r="C75">
        <v>5.53</v>
      </c>
      <c r="D75">
        <v>5.55</v>
      </c>
    </row>
    <row r="76" spans="1:4">
      <c r="A76">
        <v>1987</v>
      </c>
      <c r="B76">
        <v>1</v>
      </c>
      <c r="C76">
        <v>5.43</v>
      </c>
      <c r="D76">
        <v>5.44</v>
      </c>
    </row>
    <row r="77" spans="1:4">
      <c r="A77">
        <v>1987</v>
      </c>
      <c r="B77">
        <v>2</v>
      </c>
      <c r="C77">
        <v>5.59</v>
      </c>
      <c r="D77">
        <v>5.59</v>
      </c>
    </row>
    <row r="78" spans="1:4">
      <c r="A78">
        <v>1987</v>
      </c>
      <c r="B78">
        <v>3</v>
      </c>
      <c r="C78">
        <v>5.59</v>
      </c>
      <c r="D78">
        <v>5.6</v>
      </c>
    </row>
    <row r="79" spans="1:4">
      <c r="A79">
        <v>1987</v>
      </c>
      <c r="B79">
        <v>4</v>
      </c>
      <c r="C79">
        <v>5.64</v>
      </c>
      <c r="D79">
        <v>5.9</v>
      </c>
    </row>
    <row r="80" spans="1:4">
      <c r="A80">
        <v>1987</v>
      </c>
      <c r="B80">
        <v>5</v>
      </c>
      <c r="C80">
        <v>5.66</v>
      </c>
      <c r="D80">
        <v>6.05</v>
      </c>
    </row>
    <row r="81" spans="1:4">
      <c r="A81">
        <v>1987</v>
      </c>
      <c r="B81">
        <v>6</v>
      </c>
      <c r="C81">
        <v>5.67</v>
      </c>
      <c r="D81">
        <v>5.99</v>
      </c>
    </row>
    <row r="82" spans="1:4">
      <c r="A82">
        <v>1987</v>
      </c>
      <c r="B82">
        <v>7</v>
      </c>
      <c r="C82">
        <v>5.69</v>
      </c>
      <c r="D82">
        <v>5.76</v>
      </c>
    </row>
    <row r="83" spans="1:4">
      <c r="A83">
        <v>1987</v>
      </c>
      <c r="B83">
        <v>8</v>
      </c>
      <c r="C83">
        <v>6.04</v>
      </c>
      <c r="D83">
        <v>6.15</v>
      </c>
    </row>
    <row r="84" spans="1:4">
      <c r="A84">
        <v>1987</v>
      </c>
      <c r="B84">
        <v>9</v>
      </c>
      <c r="C84">
        <v>6.4</v>
      </c>
      <c r="D84">
        <v>6.64</v>
      </c>
    </row>
    <row r="85" spans="1:4">
      <c r="A85">
        <v>1987</v>
      </c>
      <c r="B85">
        <v>10</v>
      </c>
      <c r="C85">
        <v>6.13</v>
      </c>
      <c r="D85">
        <v>6.69</v>
      </c>
    </row>
    <row r="86" spans="1:4">
      <c r="A86">
        <v>1987</v>
      </c>
      <c r="B86">
        <v>11</v>
      </c>
      <c r="C86">
        <v>5.69</v>
      </c>
      <c r="D86">
        <v>6.19</v>
      </c>
    </row>
    <row r="87" spans="1:4">
      <c r="A87">
        <v>1987</v>
      </c>
      <c r="B87">
        <v>12</v>
      </c>
      <c r="C87">
        <v>5.77</v>
      </c>
      <c r="D87">
        <v>6.36</v>
      </c>
    </row>
    <row r="88" spans="1:4">
      <c r="A88">
        <v>1988</v>
      </c>
      <c r="B88">
        <v>1</v>
      </c>
      <c r="C88">
        <v>5.81</v>
      </c>
      <c r="D88">
        <v>6.25</v>
      </c>
    </row>
    <row r="89" spans="1:4">
      <c r="A89">
        <v>1988</v>
      </c>
      <c r="B89">
        <v>2</v>
      </c>
      <c r="C89">
        <v>5.66</v>
      </c>
      <c r="D89">
        <v>5.93</v>
      </c>
    </row>
    <row r="90" spans="1:4">
      <c r="A90">
        <v>1988</v>
      </c>
      <c r="B90">
        <v>3</v>
      </c>
      <c r="C90">
        <v>5.7</v>
      </c>
      <c r="D90">
        <v>5.91</v>
      </c>
    </row>
    <row r="91" spans="1:4">
      <c r="A91">
        <v>1988</v>
      </c>
      <c r="B91">
        <v>4</v>
      </c>
      <c r="C91">
        <v>5.91</v>
      </c>
      <c r="D91">
        <v>6.21</v>
      </c>
    </row>
    <row r="92" spans="1:4">
      <c r="A92">
        <v>1988</v>
      </c>
      <c r="B92">
        <v>5</v>
      </c>
      <c r="C92">
        <v>6.26</v>
      </c>
      <c r="D92">
        <v>6.56</v>
      </c>
    </row>
    <row r="93" spans="1:4">
      <c r="A93">
        <v>1988</v>
      </c>
      <c r="B93">
        <v>6</v>
      </c>
      <c r="C93">
        <v>6.46</v>
      </c>
      <c r="D93">
        <v>6.71</v>
      </c>
    </row>
    <row r="94" spans="1:4">
      <c r="A94">
        <v>1988</v>
      </c>
      <c r="B94">
        <v>7</v>
      </c>
      <c r="C94">
        <v>6.73</v>
      </c>
      <c r="D94">
        <v>6.99</v>
      </c>
    </row>
    <row r="95" spans="1:4">
      <c r="A95">
        <v>1988</v>
      </c>
      <c r="B95">
        <v>8</v>
      </c>
      <c r="C95">
        <v>7.06</v>
      </c>
      <c r="D95">
        <v>7.39</v>
      </c>
    </row>
    <row r="96" spans="1:4">
      <c r="A96">
        <v>1988</v>
      </c>
      <c r="B96">
        <v>9</v>
      </c>
      <c r="C96">
        <v>7.24</v>
      </c>
      <c r="D96">
        <v>7.43</v>
      </c>
    </row>
    <row r="97" spans="1:4">
      <c r="A97">
        <v>1988</v>
      </c>
      <c r="B97">
        <v>10</v>
      </c>
      <c r="C97">
        <v>7.35</v>
      </c>
      <c r="D97">
        <v>7.5</v>
      </c>
    </row>
    <row r="98" spans="1:4">
      <c r="A98">
        <v>1988</v>
      </c>
      <c r="B98">
        <v>11</v>
      </c>
      <c r="C98">
        <v>7.76</v>
      </c>
      <c r="D98">
        <v>7.86</v>
      </c>
    </row>
    <row r="99" spans="1:4">
      <c r="A99">
        <v>1988</v>
      </c>
      <c r="B99">
        <v>12</v>
      </c>
      <c r="C99">
        <v>8.07</v>
      </c>
      <c r="D99">
        <v>8.2200000000000006</v>
      </c>
    </row>
    <row r="100" spans="1:4">
      <c r="A100">
        <v>1989</v>
      </c>
      <c r="B100">
        <v>1</v>
      </c>
      <c r="C100">
        <v>8.27</v>
      </c>
      <c r="D100">
        <v>8.36</v>
      </c>
    </row>
    <row r="101" spans="1:4">
      <c r="A101">
        <v>1989</v>
      </c>
      <c r="B101">
        <v>2</v>
      </c>
      <c r="C101">
        <v>8.5299999999999994</v>
      </c>
      <c r="D101">
        <v>8.5500000000000007</v>
      </c>
    </row>
    <row r="102" spans="1:4">
      <c r="A102">
        <v>1989</v>
      </c>
      <c r="B102">
        <v>3</v>
      </c>
      <c r="C102">
        <v>8.82</v>
      </c>
      <c r="D102">
        <v>8.85</v>
      </c>
    </row>
    <row r="103" spans="1:4">
      <c r="A103">
        <v>1989</v>
      </c>
      <c r="B103">
        <v>4</v>
      </c>
      <c r="C103">
        <v>8.65</v>
      </c>
      <c r="D103">
        <v>8.65</v>
      </c>
    </row>
    <row r="104" spans="1:4">
      <c r="A104">
        <v>1989</v>
      </c>
      <c r="B104">
        <v>5</v>
      </c>
      <c r="C104">
        <v>8.43</v>
      </c>
      <c r="D104">
        <v>8.41</v>
      </c>
    </row>
    <row r="105" spans="1:4">
      <c r="A105">
        <v>1989</v>
      </c>
      <c r="B105">
        <v>6</v>
      </c>
      <c r="C105">
        <v>8.15</v>
      </c>
      <c r="D105">
        <v>7.93</v>
      </c>
    </row>
    <row r="106" spans="1:4">
      <c r="A106">
        <v>1989</v>
      </c>
      <c r="B106">
        <v>7</v>
      </c>
      <c r="C106">
        <v>7.88</v>
      </c>
      <c r="D106">
        <v>7.61</v>
      </c>
    </row>
    <row r="107" spans="1:4">
      <c r="A107">
        <v>1989</v>
      </c>
      <c r="B107">
        <v>8</v>
      </c>
      <c r="C107">
        <v>7.9</v>
      </c>
      <c r="D107">
        <v>7.74</v>
      </c>
    </row>
    <row r="108" spans="1:4">
      <c r="A108">
        <v>1989</v>
      </c>
      <c r="B108">
        <v>9</v>
      </c>
      <c r="C108">
        <v>7.75</v>
      </c>
      <c r="D108">
        <v>7.74</v>
      </c>
    </row>
    <row r="109" spans="1:4">
      <c r="A109">
        <v>1989</v>
      </c>
      <c r="B109">
        <v>10</v>
      </c>
      <c r="C109">
        <v>7.64</v>
      </c>
      <c r="D109">
        <v>7.62</v>
      </c>
    </row>
    <row r="110" spans="1:4">
      <c r="A110">
        <v>1989</v>
      </c>
      <c r="B110">
        <v>11</v>
      </c>
      <c r="C110">
        <v>7.69</v>
      </c>
      <c r="D110">
        <v>7.49</v>
      </c>
    </row>
    <row r="111" spans="1:4">
      <c r="A111">
        <v>1989</v>
      </c>
      <c r="B111">
        <v>12</v>
      </c>
      <c r="C111">
        <v>7.63</v>
      </c>
      <c r="D111">
        <v>7.42</v>
      </c>
    </row>
    <row r="112" spans="1:4">
      <c r="A112">
        <v>1990</v>
      </c>
      <c r="B112">
        <v>1</v>
      </c>
      <c r="C112">
        <v>7.64</v>
      </c>
      <c r="D112">
        <v>7.55</v>
      </c>
    </row>
    <row r="113" spans="1:4">
      <c r="A113">
        <v>1990</v>
      </c>
      <c r="B113">
        <v>2</v>
      </c>
      <c r="C113">
        <v>7.74</v>
      </c>
      <c r="D113">
        <v>7.7</v>
      </c>
    </row>
    <row r="114" spans="1:4">
      <c r="A114">
        <v>1990</v>
      </c>
      <c r="B114">
        <v>3</v>
      </c>
      <c r="C114">
        <v>7.9</v>
      </c>
      <c r="D114">
        <v>7.85</v>
      </c>
    </row>
    <row r="115" spans="1:4">
      <c r="A115">
        <v>1990</v>
      </c>
      <c r="B115">
        <v>4</v>
      </c>
      <c r="C115">
        <v>7.77</v>
      </c>
      <c r="D115">
        <v>7.84</v>
      </c>
    </row>
    <row r="116" spans="1:4">
      <c r="A116">
        <v>1990</v>
      </c>
      <c r="B116">
        <v>5</v>
      </c>
      <c r="C116">
        <v>7.74</v>
      </c>
      <c r="D116">
        <v>7.76</v>
      </c>
    </row>
    <row r="117" spans="1:4">
      <c r="A117">
        <v>1990</v>
      </c>
      <c r="B117">
        <v>6</v>
      </c>
      <c r="C117">
        <v>7.73</v>
      </c>
      <c r="D117">
        <v>7.63</v>
      </c>
    </row>
    <row r="118" spans="1:4">
      <c r="A118">
        <v>1990</v>
      </c>
      <c r="B118">
        <v>7</v>
      </c>
      <c r="C118">
        <v>7.62</v>
      </c>
      <c r="D118">
        <v>7.52</v>
      </c>
    </row>
    <row r="119" spans="1:4">
      <c r="A119">
        <v>1990</v>
      </c>
      <c r="B119">
        <v>8</v>
      </c>
      <c r="C119">
        <v>7.45</v>
      </c>
      <c r="D119">
        <v>7.38</v>
      </c>
    </row>
    <row r="120" spans="1:4">
      <c r="A120">
        <v>1990</v>
      </c>
      <c r="B120">
        <v>9</v>
      </c>
      <c r="C120">
        <v>7.36</v>
      </c>
      <c r="D120">
        <v>7.32</v>
      </c>
    </row>
    <row r="121" spans="1:4">
      <c r="A121">
        <v>1990</v>
      </c>
      <c r="B121">
        <v>10</v>
      </c>
      <c r="C121">
        <v>7.17</v>
      </c>
      <c r="D121">
        <v>7.16</v>
      </c>
    </row>
    <row r="122" spans="1:4">
      <c r="A122">
        <v>1990</v>
      </c>
      <c r="B122">
        <v>11</v>
      </c>
      <c r="C122">
        <v>7.06</v>
      </c>
      <c r="D122">
        <v>7.03</v>
      </c>
    </row>
    <row r="123" spans="1:4">
      <c r="A123">
        <v>1990</v>
      </c>
      <c r="B123">
        <v>12</v>
      </c>
      <c r="C123">
        <v>6.74</v>
      </c>
      <c r="D123">
        <v>6.7</v>
      </c>
    </row>
    <row r="124" spans="1:4">
      <c r="A124">
        <v>1991</v>
      </c>
      <c r="B124">
        <v>1</v>
      </c>
      <c r="C124">
        <v>6.22</v>
      </c>
      <c r="D124">
        <v>6.28</v>
      </c>
    </row>
    <row r="125" spans="1:4">
      <c r="A125">
        <v>1991</v>
      </c>
      <c r="B125">
        <v>2</v>
      </c>
      <c r="C125">
        <v>5.94</v>
      </c>
      <c r="D125">
        <v>5.93</v>
      </c>
    </row>
    <row r="126" spans="1:4">
      <c r="A126">
        <v>1991</v>
      </c>
      <c r="B126">
        <v>3</v>
      </c>
      <c r="C126">
        <v>5.91</v>
      </c>
      <c r="D126">
        <v>5.92</v>
      </c>
    </row>
    <row r="127" spans="1:4">
      <c r="A127">
        <v>1991</v>
      </c>
      <c r="B127">
        <v>4</v>
      </c>
      <c r="C127">
        <v>5.65</v>
      </c>
      <c r="D127">
        <v>5.71</v>
      </c>
    </row>
    <row r="128" spans="1:4">
      <c r="A128">
        <v>1991</v>
      </c>
      <c r="B128">
        <v>5</v>
      </c>
      <c r="C128">
        <v>5.46</v>
      </c>
      <c r="D128">
        <v>5.61</v>
      </c>
    </row>
    <row r="129" spans="1:4">
      <c r="A129">
        <v>1991</v>
      </c>
      <c r="B129">
        <v>6</v>
      </c>
      <c r="C129">
        <v>5.57</v>
      </c>
      <c r="D129">
        <v>5.75</v>
      </c>
    </row>
    <row r="130" spans="1:4">
      <c r="A130">
        <v>1991</v>
      </c>
      <c r="B130">
        <v>7</v>
      </c>
      <c r="C130">
        <v>5.58</v>
      </c>
      <c r="D130">
        <v>5.7</v>
      </c>
    </row>
    <row r="131" spans="1:4">
      <c r="A131">
        <v>1991</v>
      </c>
      <c r="B131">
        <v>8</v>
      </c>
      <c r="C131">
        <v>5.33</v>
      </c>
      <c r="D131">
        <v>5.39</v>
      </c>
    </row>
    <row r="132" spans="1:4">
      <c r="A132">
        <v>1991</v>
      </c>
      <c r="B132">
        <v>9</v>
      </c>
      <c r="C132">
        <v>5.22</v>
      </c>
      <c r="D132">
        <v>5.25</v>
      </c>
    </row>
    <row r="133" spans="1:4">
      <c r="A133">
        <v>1991</v>
      </c>
      <c r="B133">
        <v>10</v>
      </c>
      <c r="C133">
        <v>4.99</v>
      </c>
      <c r="D133">
        <v>5.04</v>
      </c>
    </row>
    <row r="134" spans="1:4">
      <c r="A134">
        <v>1991</v>
      </c>
      <c r="B134">
        <v>11</v>
      </c>
      <c r="C134">
        <v>4.5599999999999996</v>
      </c>
      <c r="D134">
        <v>4.6100000000000003</v>
      </c>
    </row>
    <row r="135" spans="1:4">
      <c r="A135">
        <v>1991</v>
      </c>
      <c r="B135">
        <v>12</v>
      </c>
      <c r="C135">
        <v>4.07</v>
      </c>
      <c r="D135">
        <v>4.0999999999999996</v>
      </c>
    </row>
    <row r="136" spans="1:4">
      <c r="A136">
        <v>1992</v>
      </c>
      <c r="B136">
        <v>1</v>
      </c>
      <c r="C136">
        <v>3.8</v>
      </c>
      <c r="D136">
        <v>3.87</v>
      </c>
    </row>
    <row r="137" spans="1:4">
      <c r="A137">
        <v>1992</v>
      </c>
      <c r="B137">
        <v>2</v>
      </c>
      <c r="C137">
        <v>3.84</v>
      </c>
      <c r="D137">
        <v>3.93</v>
      </c>
    </row>
    <row r="138" spans="1:4">
      <c r="A138">
        <v>1992</v>
      </c>
      <c r="B138">
        <v>3</v>
      </c>
      <c r="C138">
        <v>4.04</v>
      </c>
      <c r="D138">
        <v>4.18</v>
      </c>
    </row>
    <row r="139" spans="1:4">
      <c r="A139">
        <v>1992</v>
      </c>
      <c r="B139">
        <v>4</v>
      </c>
      <c r="C139">
        <v>3.75</v>
      </c>
      <c r="D139">
        <v>3.87</v>
      </c>
    </row>
    <row r="140" spans="1:4">
      <c r="A140">
        <v>1992</v>
      </c>
      <c r="B140">
        <v>5</v>
      </c>
      <c r="C140">
        <v>3.63</v>
      </c>
      <c r="D140">
        <v>3.75</v>
      </c>
    </row>
    <row r="141" spans="1:4">
      <c r="A141">
        <v>1992</v>
      </c>
      <c r="B141">
        <v>6</v>
      </c>
      <c r="C141">
        <v>3.66</v>
      </c>
      <c r="D141">
        <v>3.77</v>
      </c>
    </row>
    <row r="142" spans="1:4">
      <c r="A142">
        <v>1992</v>
      </c>
      <c r="B142">
        <v>7</v>
      </c>
      <c r="C142">
        <v>3.21</v>
      </c>
      <c r="D142">
        <v>3.28</v>
      </c>
    </row>
    <row r="143" spans="1:4">
      <c r="A143">
        <v>1992</v>
      </c>
      <c r="B143">
        <v>8</v>
      </c>
      <c r="C143">
        <v>3.13</v>
      </c>
      <c r="D143">
        <v>3.21</v>
      </c>
    </row>
    <row r="144" spans="1:4">
      <c r="A144">
        <v>1992</v>
      </c>
      <c r="B144">
        <v>9</v>
      </c>
      <c r="C144">
        <v>2.91</v>
      </c>
      <c r="D144">
        <v>2.96</v>
      </c>
    </row>
    <row r="145" spans="1:4">
      <c r="A145">
        <v>1992</v>
      </c>
      <c r="B145">
        <v>10</v>
      </c>
      <c r="C145">
        <v>2.86</v>
      </c>
      <c r="D145">
        <v>3.04</v>
      </c>
    </row>
    <row r="146" spans="1:4">
      <c r="A146">
        <v>1992</v>
      </c>
      <c r="B146">
        <v>11</v>
      </c>
      <c r="C146">
        <v>3.13</v>
      </c>
      <c r="D146">
        <v>3.34</v>
      </c>
    </row>
    <row r="147" spans="1:4">
      <c r="A147">
        <v>1992</v>
      </c>
      <c r="B147">
        <v>12</v>
      </c>
      <c r="C147">
        <v>3.22</v>
      </c>
      <c r="D147">
        <v>3.36</v>
      </c>
    </row>
    <row r="148" spans="1:4">
      <c r="A148">
        <v>1993</v>
      </c>
      <c r="B148">
        <v>1</v>
      </c>
      <c r="C148">
        <v>3</v>
      </c>
      <c r="D148">
        <v>3.14</v>
      </c>
    </row>
    <row r="149" spans="1:4">
      <c r="A149">
        <v>1993</v>
      </c>
      <c r="B149">
        <v>2</v>
      </c>
      <c r="C149">
        <v>2.93</v>
      </c>
      <c r="D149">
        <v>3.07</v>
      </c>
    </row>
    <row r="150" spans="1:4">
      <c r="A150">
        <v>1993</v>
      </c>
      <c r="B150">
        <v>3</v>
      </c>
      <c r="C150">
        <v>2.95</v>
      </c>
      <c r="D150">
        <v>3.05</v>
      </c>
    </row>
    <row r="151" spans="1:4">
      <c r="A151">
        <v>1993</v>
      </c>
      <c r="B151">
        <v>4</v>
      </c>
      <c r="C151">
        <v>2.87</v>
      </c>
      <c r="D151">
        <v>2.97</v>
      </c>
    </row>
    <row r="152" spans="1:4">
      <c r="A152">
        <v>1993</v>
      </c>
      <c r="B152">
        <v>5</v>
      </c>
      <c r="C152">
        <v>2.96</v>
      </c>
      <c r="D152">
        <v>3.07</v>
      </c>
    </row>
    <row r="153" spans="1:4">
      <c r="A153">
        <v>1993</v>
      </c>
      <c r="B153">
        <v>6</v>
      </c>
      <c r="C153">
        <v>3.07</v>
      </c>
      <c r="D153">
        <v>3.2</v>
      </c>
    </row>
    <row r="154" spans="1:4">
      <c r="A154">
        <v>1993</v>
      </c>
      <c r="B154">
        <v>7</v>
      </c>
      <c r="C154">
        <v>3.04</v>
      </c>
      <c r="D154">
        <v>3.16</v>
      </c>
    </row>
    <row r="155" spans="1:4">
      <c r="A155">
        <v>1993</v>
      </c>
      <c r="B155">
        <v>8</v>
      </c>
      <c r="C155">
        <v>3.02</v>
      </c>
      <c r="D155">
        <v>3.14</v>
      </c>
    </row>
    <row r="156" spans="1:4">
      <c r="A156">
        <v>1993</v>
      </c>
      <c r="B156">
        <v>9</v>
      </c>
      <c r="C156">
        <v>2.95</v>
      </c>
      <c r="D156">
        <v>3.06</v>
      </c>
    </row>
    <row r="157" spans="1:4">
      <c r="A157">
        <v>1993</v>
      </c>
      <c r="B157">
        <v>10</v>
      </c>
      <c r="C157">
        <v>3.02</v>
      </c>
      <c r="D157">
        <v>3.12</v>
      </c>
    </row>
    <row r="158" spans="1:4">
      <c r="A158">
        <v>1993</v>
      </c>
      <c r="B158">
        <v>11</v>
      </c>
      <c r="C158">
        <v>3.1</v>
      </c>
      <c r="D158">
        <v>3.26</v>
      </c>
    </row>
    <row r="159" spans="1:4">
      <c r="A159">
        <v>1993</v>
      </c>
      <c r="B159">
        <v>12</v>
      </c>
      <c r="C159">
        <v>3.06</v>
      </c>
      <c r="D159">
        <v>3.23</v>
      </c>
    </row>
    <row r="160" spans="1:4">
      <c r="A160">
        <v>1994</v>
      </c>
      <c r="B160">
        <v>1</v>
      </c>
      <c r="C160">
        <v>2.98</v>
      </c>
      <c r="D160">
        <v>3.15</v>
      </c>
    </row>
    <row r="161" spans="1:4">
      <c r="A161">
        <v>1994</v>
      </c>
      <c r="B161">
        <v>2</v>
      </c>
      <c r="C161">
        <v>3.25</v>
      </c>
      <c r="D161">
        <v>3.43</v>
      </c>
    </row>
    <row r="162" spans="1:4">
      <c r="A162">
        <v>1994</v>
      </c>
      <c r="B162">
        <v>3</v>
      </c>
      <c r="C162">
        <v>3.5</v>
      </c>
      <c r="D162">
        <v>3.78</v>
      </c>
    </row>
    <row r="163" spans="1:4">
      <c r="A163">
        <v>1994</v>
      </c>
      <c r="B163">
        <v>4</v>
      </c>
      <c r="C163">
        <v>3.68</v>
      </c>
      <c r="D163">
        <v>4.09</v>
      </c>
    </row>
    <row r="164" spans="1:4">
      <c r="A164">
        <v>1994</v>
      </c>
      <c r="B164">
        <v>5</v>
      </c>
      <c r="C164">
        <v>4.1399999999999997</v>
      </c>
      <c r="D164">
        <v>4.5999999999999996</v>
      </c>
    </row>
    <row r="165" spans="1:4">
      <c r="A165">
        <v>1994</v>
      </c>
      <c r="B165">
        <v>6</v>
      </c>
      <c r="C165">
        <v>4.1399999999999997</v>
      </c>
      <c r="D165">
        <v>4.55</v>
      </c>
    </row>
    <row r="166" spans="1:4">
      <c r="A166">
        <v>1994</v>
      </c>
      <c r="B166">
        <v>7</v>
      </c>
      <c r="C166">
        <v>4.33</v>
      </c>
      <c r="D166">
        <v>4.75</v>
      </c>
    </row>
    <row r="167" spans="1:4">
      <c r="A167">
        <v>1994</v>
      </c>
      <c r="B167">
        <v>8</v>
      </c>
      <c r="C167">
        <v>4.4800000000000004</v>
      </c>
      <c r="D167">
        <v>4.88</v>
      </c>
    </row>
    <row r="168" spans="1:4">
      <c r="A168">
        <v>1994</v>
      </c>
      <c r="B168">
        <v>9</v>
      </c>
      <c r="C168">
        <v>4.62</v>
      </c>
      <c r="D168">
        <v>5.04</v>
      </c>
    </row>
    <row r="169" spans="1:4">
      <c r="A169">
        <v>1994</v>
      </c>
      <c r="B169">
        <v>10</v>
      </c>
      <c r="C169">
        <v>4.95</v>
      </c>
      <c r="D169">
        <v>5.39</v>
      </c>
    </row>
    <row r="170" spans="1:4">
      <c r="A170">
        <v>1994</v>
      </c>
      <c r="B170">
        <v>11</v>
      </c>
      <c r="C170">
        <v>5.29</v>
      </c>
      <c r="D170">
        <v>5.72</v>
      </c>
    </row>
    <row r="171" spans="1:4">
      <c r="A171">
        <v>1994</v>
      </c>
      <c r="B171">
        <v>12</v>
      </c>
      <c r="C171">
        <v>5.6</v>
      </c>
      <c r="D171">
        <v>6.21</v>
      </c>
    </row>
    <row r="172" spans="1:4">
      <c r="A172">
        <v>1995</v>
      </c>
      <c r="B172">
        <v>1</v>
      </c>
      <c r="C172">
        <v>5.71</v>
      </c>
      <c r="D172">
        <v>6.21</v>
      </c>
    </row>
    <row r="173" spans="1:4">
      <c r="A173">
        <v>1995</v>
      </c>
      <c r="B173">
        <v>2</v>
      </c>
      <c r="C173">
        <v>5.77</v>
      </c>
      <c r="D173">
        <v>6.03</v>
      </c>
    </row>
    <row r="174" spans="1:4">
      <c r="A174">
        <v>1995</v>
      </c>
      <c r="B174">
        <v>3</v>
      </c>
      <c r="C174">
        <v>5.73</v>
      </c>
      <c r="D174">
        <v>5.89</v>
      </c>
    </row>
    <row r="175" spans="1:4">
      <c r="A175">
        <v>1995</v>
      </c>
      <c r="B175">
        <v>4</v>
      </c>
      <c r="C175">
        <v>5.65</v>
      </c>
      <c r="D175">
        <v>5.77</v>
      </c>
    </row>
    <row r="176" spans="1:4">
      <c r="A176">
        <v>1995</v>
      </c>
      <c r="B176">
        <v>5</v>
      </c>
      <c r="C176">
        <v>5.67</v>
      </c>
      <c r="D176">
        <v>5.67</v>
      </c>
    </row>
    <row r="177" spans="1:4">
      <c r="A177">
        <v>1995</v>
      </c>
      <c r="B177">
        <v>6</v>
      </c>
      <c r="C177">
        <v>5.47</v>
      </c>
      <c r="D177">
        <v>5.42</v>
      </c>
    </row>
    <row r="178" spans="1:4">
      <c r="A178">
        <v>1995</v>
      </c>
      <c r="B178">
        <v>7</v>
      </c>
      <c r="C178">
        <v>5.42</v>
      </c>
      <c r="D178">
        <v>5.37</v>
      </c>
    </row>
    <row r="179" spans="1:4">
      <c r="A179">
        <v>1995</v>
      </c>
      <c r="B179">
        <v>8</v>
      </c>
      <c r="C179">
        <v>5.4</v>
      </c>
      <c r="D179">
        <v>5.41</v>
      </c>
    </row>
    <row r="180" spans="1:4">
      <c r="A180">
        <v>1995</v>
      </c>
      <c r="B180">
        <v>9</v>
      </c>
      <c r="C180">
        <v>5.28</v>
      </c>
      <c r="D180">
        <v>5.3</v>
      </c>
    </row>
    <row r="181" spans="1:4">
      <c r="A181">
        <v>1995</v>
      </c>
      <c r="B181">
        <v>10</v>
      </c>
      <c r="C181">
        <v>5.28</v>
      </c>
      <c r="D181">
        <v>5.32</v>
      </c>
    </row>
    <row r="182" spans="1:4">
      <c r="A182">
        <v>1995</v>
      </c>
      <c r="B182">
        <v>11</v>
      </c>
      <c r="C182">
        <v>5.36</v>
      </c>
      <c r="D182">
        <v>5.27</v>
      </c>
    </row>
    <row r="183" spans="1:4">
      <c r="A183">
        <v>1995</v>
      </c>
      <c r="B183">
        <v>12</v>
      </c>
      <c r="C183">
        <v>5.14</v>
      </c>
      <c r="D183">
        <v>5.13</v>
      </c>
    </row>
    <row r="184" spans="1:4">
      <c r="A184">
        <v>1996</v>
      </c>
      <c r="B184">
        <v>1</v>
      </c>
      <c r="C184">
        <v>5</v>
      </c>
      <c r="D184">
        <v>4.92</v>
      </c>
    </row>
    <row r="185" spans="1:4">
      <c r="A185">
        <v>1996</v>
      </c>
      <c r="B185">
        <v>2</v>
      </c>
      <c r="C185">
        <v>4.83</v>
      </c>
      <c r="D185">
        <v>4.7699999999999996</v>
      </c>
    </row>
    <row r="186" spans="1:4">
      <c r="A186">
        <v>1996</v>
      </c>
      <c r="B186">
        <v>3</v>
      </c>
      <c r="C186">
        <v>4.96</v>
      </c>
      <c r="D186">
        <v>4.96</v>
      </c>
    </row>
    <row r="187" spans="1:4">
      <c r="A187">
        <v>1996</v>
      </c>
      <c r="B187">
        <v>4</v>
      </c>
      <c r="C187">
        <v>4.95</v>
      </c>
      <c r="D187">
        <v>5.0599999999999996</v>
      </c>
    </row>
    <row r="188" spans="1:4">
      <c r="A188">
        <v>1996</v>
      </c>
      <c r="B188">
        <v>5</v>
      </c>
      <c r="C188">
        <v>5.0199999999999996</v>
      </c>
      <c r="D188">
        <v>5.12</v>
      </c>
    </row>
    <row r="189" spans="1:4">
      <c r="A189">
        <v>1996</v>
      </c>
      <c r="B189">
        <v>6</v>
      </c>
      <c r="C189">
        <v>5.09</v>
      </c>
      <c r="D189">
        <v>5.25</v>
      </c>
    </row>
    <row r="190" spans="1:4">
      <c r="A190">
        <v>1996</v>
      </c>
      <c r="B190">
        <v>7</v>
      </c>
      <c r="C190">
        <v>5.15</v>
      </c>
      <c r="D190">
        <v>5.3</v>
      </c>
    </row>
    <row r="191" spans="1:4">
      <c r="A191">
        <v>1996</v>
      </c>
      <c r="B191">
        <v>8</v>
      </c>
      <c r="C191">
        <v>5.05</v>
      </c>
      <c r="D191">
        <v>5.13</v>
      </c>
    </row>
    <row r="192" spans="1:4">
      <c r="A192">
        <v>1996</v>
      </c>
      <c r="B192">
        <v>9</v>
      </c>
      <c r="C192">
        <v>5.09</v>
      </c>
      <c r="D192">
        <v>5.24</v>
      </c>
    </row>
    <row r="193" spans="1:4">
      <c r="A193">
        <v>1996</v>
      </c>
      <c r="B193">
        <v>10</v>
      </c>
      <c r="C193">
        <v>4.99</v>
      </c>
      <c r="D193">
        <v>5.1100000000000003</v>
      </c>
    </row>
    <row r="194" spans="1:4">
      <c r="A194">
        <v>1996</v>
      </c>
      <c r="B194">
        <v>11</v>
      </c>
      <c r="C194">
        <v>5.03</v>
      </c>
      <c r="D194">
        <v>5.07</v>
      </c>
    </row>
    <row r="195" spans="1:4">
      <c r="A195">
        <v>1996</v>
      </c>
      <c r="B195">
        <v>12</v>
      </c>
      <c r="C195">
        <v>4.91</v>
      </c>
      <c r="D195">
        <v>5.04</v>
      </c>
    </row>
    <row r="196" spans="1:4">
      <c r="A196">
        <v>1997</v>
      </c>
      <c r="B196">
        <v>1</v>
      </c>
      <c r="C196">
        <v>5.03</v>
      </c>
      <c r="D196">
        <v>5.0999999999999996</v>
      </c>
    </row>
    <row r="197" spans="1:4">
      <c r="A197">
        <v>1997</v>
      </c>
      <c r="B197">
        <v>2</v>
      </c>
      <c r="C197">
        <v>5.01</v>
      </c>
      <c r="D197">
        <v>5.0599999999999996</v>
      </c>
    </row>
    <row r="198" spans="1:4">
      <c r="A198">
        <v>1997</v>
      </c>
      <c r="B198">
        <v>3</v>
      </c>
      <c r="C198">
        <v>5.14</v>
      </c>
      <c r="D198">
        <v>5.26</v>
      </c>
    </row>
    <row r="199" spans="1:4">
      <c r="A199">
        <v>1997</v>
      </c>
      <c r="B199">
        <v>4</v>
      </c>
      <c r="C199">
        <v>5.16</v>
      </c>
      <c r="D199">
        <v>5.37</v>
      </c>
    </row>
    <row r="200" spans="1:4">
      <c r="A200">
        <v>1997</v>
      </c>
      <c r="B200">
        <v>5</v>
      </c>
      <c r="C200">
        <v>5.05</v>
      </c>
      <c r="D200">
        <v>5.3</v>
      </c>
    </row>
    <row r="201" spans="1:4">
      <c r="A201">
        <v>1997</v>
      </c>
      <c r="B201">
        <v>6</v>
      </c>
      <c r="C201">
        <v>4.93</v>
      </c>
      <c r="D201">
        <v>5.13</v>
      </c>
    </row>
    <row r="202" spans="1:4">
      <c r="A202">
        <v>1997</v>
      </c>
      <c r="B202">
        <v>7</v>
      </c>
      <c r="C202">
        <v>5.05</v>
      </c>
      <c r="D202">
        <v>5.12</v>
      </c>
    </row>
    <row r="203" spans="1:4">
      <c r="A203">
        <v>1997</v>
      </c>
      <c r="B203">
        <v>8</v>
      </c>
      <c r="C203">
        <v>5.14</v>
      </c>
      <c r="D203">
        <v>5.19</v>
      </c>
    </row>
    <row r="204" spans="1:4">
      <c r="A204">
        <v>1997</v>
      </c>
      <c r="B204">
        <v>9</v>
      </c>
      <c r="C204">
        <v>4.95</v>
      </c>
      <c r="D204">
        <v>5.09</v>
      </c>
    </row>
    <row r="205" spans="1:4">
      <c r="A205">
        <v>1997</v>
      </c>
      <c r="B205">
        <v>10</v>
      </c>
      <c r="C205">
        <v>4.97</v>
      </c>
      <c r="D205">
        <v>5.09</v>
      </c>
    </row>
    <row r="206" spans="1:4">
      <c r="A206">
        <v>1997</v>
      </c>
      <c r="B206">
        <v>11</v>
      </c>
      <c r="C206">
        <v>5.14</v>
      </c>
      <c r="D206">
        <v>5.17</v>
      </c>
    </row>
    <row r="207" spans="1:4">
      <c r="A207">
        <v>1997</v>
      </c>
      <c r="B207">
        <v>12</v>
      </c>
      <c r="C207">
        <v>5.16</v>
      </c>
      <c r="D207">
        <v>5.24</v>
      </c>
    </row>
    <row r="208" spans="1:4">
      <c r="A208">
        <v>1998</v>
      </c>
      <c r="B208">
        <v>1</v>
      </c>
      <c r="C208">
        <v>5.04</v>
      </c>
      <c r="D208">
        <v>5.03</v>
      </c>
    </row>
    <row r="209" spans="1:4">
      <c r="A209">
        <v>1998</v>
      </c>
      <c r="B209">
        <v>2</v>
      </c>
      <c r="C209">
        <v>5.09</v>
      </c>
      <c r="D209">
        <v>5.07</v>
      </c>
    </row>
    <row r="210" spans="1:4">
      <c r="A210">
        <v>1998</v>
      </c>
      <c r="B210">
        <v>3</v>
      </c>
      <c r="C210">
        <v>5.03</v>
      </c>
      <c r="D210">
        <v>5.04</v>
      </c>
    </row>
    <row r="211" spans="1:4">
      <c r="A211">
        <v>1998</v>
      </c>
      <c r="B211">
        <v>4</v>
      </c>
      <c r="C211">
        <v>4.95</v>
      </c>
      <c r="D211">
        <v>5.0599999999999996</v>
      </c>
    </row>
    <row r="212" spans="1:4">
      <c r="A212">
        <v>1998</v>
      </c>
      <c r="B212">
        <v>5</v>
      </c>
      <c r="C212">
        <v>5</v>
      </c>
      <c r="D212">
        <v>5.14</v>
      </c>
    </row>
    <row r="213" spans="1:4">
      <c r="A213">
        <v>1998</v>
      </c>
      <c r="B213">
        <v>6</v>
      </c>
      <c r="C213">
        <v>4.9800000000000004</v>
      </c>
      <c r="D213">
        <v>5.12</v>
      </c>
    </row>
    <row r="214" spans="1:4">
      <c r="A214">
        <v>1998</v>
      </c>
      <c r="B214">
        <v>7</v>
      </c>
      <c r="C214">
        <v>4.96</v>
      </c>
      <c r="D214">
        <v>5.03</v>
      </c>
    </row>
    <row r="215" spans="1:4">
      <c r="A215">
        <v>1998</v>
      </c>
      <c r="B215">
        <v>8</v>
      </c>
      <c r="C215">
        <v>4.9000000000000004</v>
      </c>
      <c r="D215">
        <v>4.95</v>
      </c>
    </row>
    <row r="216" spans="1:4">
      <c r="A216">
        <v>1998</v>
      </c>
      <c r="B216">
        <v>9</v>
      </c>
      <c r="C216">
        <v>4.6100000000000003</v>
      </c>
      <c r="D216">
        <v>4.63</v>
      </c>
    </row>
    <row r="217" spans="1:4">
      <c r="A217">
        <v>1998</v>
      </c>
      <c r="B217">
        <v>10</v>
      </c>
      <c r="C217">
        <v>3.96</v>
      </c>
      <c r="D217">
        <v>4.05</v>
      </c>
    </row>
    <row r="218" spans="1:4">
      <c r="A218">
        <v>1998</v>
      </c>
      <c r="B218">
        <v>11</v>
      </c>
      <c r="C218">
        <v>4.41</v>
      </c>
      <c r="D218">
        <v>4.42</v>
      </c>
    </row>
    <row r="219" spans="1:4">
      <c r="A219">
        <v>1998</v>
      </c>
      <c r="B219">
        <v>12</v>
      </c>
      <c r="C219">
        <v>4.3899999999999997</v>
      </c>
      <c r="D219">
        <v>4.4000000000000004</v>
      </c>
    </row>
    <row r="220" spans="1:4">
      <c r="A220">
        <v>1999</v>
      </c>
      <c r="B220">
        <v>1</v>
      </c>
      <c r="C220">
        <v>4.34</v>
      </c>
      <c r="D220">
        <v>4.33</v>
      </c>
    </row>
    <row r="221" spans="1:4">
      <c r="A221">
        <v>1999</v>
      </c>
      <c r="B221">
        <v>2</v>
      </c>
      <c r="C221">
        <v>4.4400000000000004</v>
      </c>
      <c r="D221">
        <v>4.4400000000000004</v>
      </c>
    </row>
    <row r="222" spans="1:4">
      <c r="A222">
        <v>1999</v>
      </c>
      <c r="B222">
        <v>3</v>
      </c>
      <c r="C222">
        <v>4.4400000000000004</v>
      </c>
      <c r="D222">
        <v>4.47</v>
      </c>
    </row>
    <row r="223" spans="1:4">
      <c r="A223">
        <v>1999</v>
      </c>
      <c r="B223">
        <v>4</v>
      </c>
      <c r="C223">
        <v>4.29</v>
      </c>
      <c r="D223">
        <v>4.37</v>
      </c>
    </row>
    <row r="224" spans="1:4">
      <c r="A224">
        <v>1999</v>
      </c>
      <c r="B224">
        <v>5</v>
      </c>
      <c r="C224">
        <v>4.5</v>
      </c>
      <c r="D224">
        <v>4.5599999999999996</v>
      </c>
    </row>
    <row r="225" spans="1:4">
      <c r="A225">
        <v>1999</v>
      </c>
      <c r="B225">
        <v>6</v>
      </c>
      <c r="C225">
        <v>4.57</v>
      </c>
      <c r="D225">
        <v>4.82</v>
      </c>
    </row>
    <row r="226" spans="1:4">
      <c r="A226">
        <v>1999</v>
      </c>
      <c r="B226">
        <v>7</v>
      </c>
      <c r="C226">
        <v>4.55</v>
      </c>
      <c r="D226">
        <v>4.58</v>
      </c>
    </row>
    <row r="227" spans="1:4">
      <c r="A227">
        <v>1999</v>
      </c>
      <c r="B227">
        <v>8</v>
      </c>
      <c r="C227">
        <v>4.72</v>
      </c>
      <c r="D227">
        <v>4.87</v>
      </c>
    </row>
    <row r="228" spans="1:4">
      <c r="A228">
        <v>1999</v>
      </c>
      <c r="B228">
        <v>9</v>
      </c>
      <c r="C228">
        <v>4.68</v>
      </c>
      <c r="D228">
        <v>4.88</v>
      </c>
    </row>
    <row r="229" spans="1:4">
      <c r="A229">
        <v>1999</v>
      </c>
      <c r="B229">
        <v>10</v>
      </c>
      <c r="C229">
        <v>4.8600000000000003</v>
      </c>
      <c r="D229">
        <v>4.9800000000000004</v>
      </c>
    </row>
    <row r="230" spans="1:4">
      <c r="A230">
        <v>1999</v>
      </c>
      <c r="B230">
        <v>11</v>
      </c>
      <c r="C230">
        <v>5.07</v>
      </c>
      <c r="D230">
        <v>5.2</v>
      </c>
    </row>
    <row r="231" spans="1:4">
      <c r="A231">
        <v>1999</v>
      </c>
      <c r="B231">
        <v>12</v>
      </c>
      <c r="C231">
        <v>5.2</v>
      </c>
      <c r="D231">
        <v>5.44</v>
      </c>
    </row>
    <row r="232" spans="1:4">
      <c r="A232">
        <v>2000</v>
      </c>
      <c r="B232">
        <v>1</v>
      </c>
      <c r="C232">
        <v>5.32</v>
      </c>
      <c r="D232">
        <v>5.5</v>
      </c>
    </row>
    <row r="233" spans="1:4">
      <c r="A233">
        <v>2000</v>
      </c>
      <c r="B233">
        <v>2</v>
      </c>
      <c r="C233">
        <v>5.55</v>
      </c>
      <c r="D233">
        <v>5.72</v>
      </c>
    </row>
    <row r="234" spans="1:4">
      <c r="A234">
        <v>2000</v>
      </c>
      <c r="B234">
        <v>3</v>
      </c>
      <c r="C234">
        <v>5.69</v>
      </c>
      <c r="D234">
        <v>5.85</v>
      </c>
    </row>
    <row r="235" spans="1:4">
      <c r="A235">
        <v>2000</v>
      </c>
      <c r="B235">
        <v>4</v>
      </c>
      <c r="C235">
        <v>5.66</v>
      </c>
      <c r="D235">
        <v>5.81</v>
      </c>
    </row>
    <row r="236" spans="1:4">
      <c r="A236">
        <v>2000</v>
      </c>
      <c r="B236">
        <v>5</v>
      </c>
      <c r="C236">
        <v>5.79</v>
      </c>
      <c r="D236">
        <v>6.1</v>
      </c>
    </row>
    <row r="237" spans="1:4">
      <c r="A237">
        <v>2000</v>
      </c>
      <c r="B237">
        <v>6</v>
      </c>
      <c r="C237">
        <v>5.69</v>
      </c>
      <c r="D237">
        <v>5.97</v>
      </c>
    </row>
    <row r="238" spans="1:4">
      <c r="A238">
        <v>2000</v>
      </c>
      <c r="B238">
        <v>7</v>
      </c>
      <c r="C238">
        <v>5.96</v>
      </c>
      <c r="D238">
        <v>6</v>
      </c>
    </row>
    <row r="239" spans="1:4">
      <c r="A239">
        <v>2000</v>
      </c>
      <c r="B239">
        <v>8</v>
      </c>
      <c r="C239">
        <v>6.09</v>
      </c>
      <c r="D239">
        <v>6.07</v>
      </c>
    </row>
    <row r="240" spans="1:4">
      <c r="A240">
        <v>2000</v>
      </c>
      <c r="B240">
        <v>9</v>
      </c>
      <c r="C240">
        <v>6</v>
      </c>
      <c r="D240">
        <v>5.98</v>
      </c>
    </row>
    <row r="241" spans="1:4">
      <c r="A241">
        <v>2000</v>
      </c>
      <c r="B241">
        <v>10</v>
      </c>
      <c r="C241">
        <v>6.11</v>
      </c>
      <c r="D241">
        <v>6.04</v>
      </c>
    </row>
    <row r="242" spans="1:4">
      <c r="A242">
        <v>2000</v>
      </c>
      <c r="B242">
        <v>11</v>
      </c>
      <c r="C242">
        <v>6.17</v>
      </c>
      <c r="D242">
        <v>6.06</v>
      </c>
    </row>
    <row r="243" spans="1:4">
      <c r="A243">
        <v>2000</v>
      </c>
      <c r="B243">
        <v>12</v>
      </c>
      <c r="C243">
        <v>5.77</v>
      </c>
      <c r="D243">
        <v>5.68</v>
      </c>
    </row>
    <row r="244" spans="1:4">
      <c r="A244">
        <v>2001</v>
      </c>
      <c r="B244">
        <v>1</v>
      </c>
      <c r="C244">
        <v>5.15</v>
      </c>
      <c r="D244">
        <v>4.95</v>
      </c>
    </row>
    <row r="245" spans="1:4">
      <c r="A245">
        <v>2001</v>
      </c>
      <c r="B245">
        <v>2</v>
      </c>
      <c r="C245">
        <v>4.88</v>
      </c>
      <c r="D245">
        <v>4.71</v>
      </c>
    </row>
    <row r="246" spans="1:4">
      <c r="A246">
        <v>2001</v>
      </c>
      <c r="B246">
        <v>3</v>
      </c>
      <c r="C246">
        <v>4.42</v>
      </c>
      <c r="D246">
        <v>4.28</v>
      </c>
    </row>
    <row r="247" spans="1:4">
      <c r="A247">
        <v>2001</v>
      </c>
      <c r="B247">
        <v>4</v>
      </c>
      <c r="C247">
        <v>3.87</v>
      </c>
      <c r="D247">
        <v>3.85</v>
      </c>
    </row>
    <row r="248" spans="1:4">
      <c r="A248">
        <v>2001</v>
      </c>
      <c r="B248">
        <v>5</v>
      </c>
      <c r="C248">
        <v>3.62</v>
      </c>
      <c r="D248">
        <v>3.62</v>
      </c>
    </row>
    <row r="249" spans="1:4">
      <c r="A249">
        <v>2001</v>
      </c>
      <c r="B249">
        <v>6</v>
      </c>
      <c r="C249">
        <v>3.49</v>
      </c>
      <c r="D249">
        <v>3.45</v>
      </c>
    </row>
    <row r="250" spans="1:4">
      <c r="A250">
        <v>2001</v>
      </c>
      <c r="B250">
        <v>7</v>
      </c>
      <c r="C250">
        <v>3.51</v>
      </c>
      <c r="D250">
        <v>3.45</v>
      </c>
    </row>
    <row r="251" spans="1:4">
      <c r="A251">
        <v>2001</v>
      </c>
      <c r="B251">
        <v>8</v>
      </c>
      <c r="C251">
        <v>3.36</v>
      </c>
      <c r="D251">
        <v>3.29</v>
      </c>
    </row>
    <row r="252" spans="1:4">
      <c r="A252">
        <v>2001</v>
      </c>
      <c r="B252">
        <v>9</v>
      </c>
      <c r="C252">
        <v>2.64</v>
      </c>
      <c r="D252">
        <v>2.63</v>
      </c>
    </row>
    <row r="253" spans="1:4">
      <c r="A253">
        <v>2001</v>
      </c>
      <c r="B253">
        <v>10</v>
      </c>
      <c r="C253">
        <v>2.16</v>
      </c>
      <c r="D253">
        <v>2.12</v>
      </c>
    </row>
    <row r="254" spans="1:4">
      <c r="A254">
        <v>2001</v>
      </c>
      <c r="B254">
        <v>11</v>
      </c>
      <c r="C254">
        <v>1.87</v>
      </c>
      <c r="D254">
        <v>1.88</v>
      </c>
    </row>
    <row r="255" spans="1:4">
      <c r="A255">
        <v>2001</v>
      </c>
      <c r="B255">
        <v>12</v>
      </c>
      <c r="C255">
        <v>1.69</v>
      </c>
      <c r="D255">
        <v>1.78</v>
      </c>
    </row>
    <row r="256" spans="1:4">
      <c r="A256">
        <v>2002</v>
      </c>
      <c r="B256">
        <v>1</v>
      </c>
      <c r="C256">
        <v>1.65</v>
      </c>
      <c r="D256">
        <v>1.73</v>
      </c>
    </row>
    <row r="257" spans="1:4">
      <c r="A257">
        <v>2002</v>
      </c>
      <c r="B257">
        <v>2</v>
      </c>
      <c r="C257">
        <v>1.73</v>
      </c>
      <c r="D257">
        <v>1.82</v>
      </c>
    </row>
    <row r="258" spans="1:4">
      <c r="A258">
        <v>2002</v>
      </c>
      <c r="B258">
        <v>3</v>
      </c>
      <c r="C258">
        <v>1.79</v>
      </c>
      <c r="D258">
        <v>2.0099999999999998</v>
      </c>
    </row>
    <row r="259" spans="1:4">
      <c r="A259">
        <v>2002</v>
      </c>
      <c r="B259">
        <v>4</v>
      </c>
      <c r="C259">
        <v>1.72</v>
      </c>
      <c r="D259">
        <v>1.93</v>
      </c>
    </row>
    <row r="260" spans="1:4">
      <c r="A260">
        <v>2002</v>
      </c>
      <c r="B260">
        <v>5</v>
      </c>
      <c r="C260">
        <v>1.73</v>
      </c>
      <c r="D260">
        <v>1.86</v>
      </c>
    </row>
    <row r="261" spans="1:4">
      <c r="A261">
        <v>2002</v>
      </c>
      <c r="B261">
        <v>6</v>
      </c>
      <c r="C261">
        <v>1.7</v>
      </c>
      <c r="D261">
        <v>1.79</v>
      </c>
    </row>
    <row r="262" spans="1:4">
      <c r="A262">
        <v>2002</v>
      </c>
      <c r="B262">
        <v>7</v>
      </c>
      <c r="C262">
        <v>1.68</v>
      </c>
      <c r="D262">
        <v>1.7</v>
      </c>
    </row>
    <row r="263" spans="1:4">
      <c r="A263">
        <v>2002</v>
      </c>
      <c r="B263">
        <v>8</v>
      </c>
      <c r="C263">
        <v>1.62</v>
      </c>
      <c r="D263">
        <v>1.6</v>
      </c>
    </row>
    <row r="264" spans="1:4">
      <c r="A264">
        <v>2002</v>
      </c>
      <c r="B264">
        <v>9</v>
      </c>
      <c r="C264">
        <v>1.63</v>
      </c>
      <c r="D264">
        <v>1.6</v>
      </c>
    </row>
    <row r="265" spans="1:4">
      <c r="A265">
        <v>2002</v>
      </c>
      <c r="B265">
        <v>10</v>
      </c>
      <c r="C265">
        <v>1.58</v>
      </c>
      <c r="D265">
        <v>1.56</v>
      </c>
    </row>
    <row r="266" spans="1:4">
      <c r="A266">
        <v>2002</v>
      </c>
      <c r="B266">
        <v>11</v>
      </c>
      <c r="C266">
        <v>1.23</v>
      </c>
      <c r="D266">
        <v>1.27</v>
      </c>
    </row>
    <row r="267" spans="1:4">
      <c r="A267">
        <v>2002</v>
      </c>
      <c r="B267">
        <v>12</v>
      </c>
      <c r="C267">
        <v>1.19</v>
      </c>
      <c r="D267">
        <v>1.24</v>
      </c>
    </row>
    <row r="268" spans="1:4">
      <c r="A268">
        <v>2003</v>
      </c>
      <c r="B268">
        <v>1</v>
      </c>
      <c r="C268">
        <v>1.17</v>
      </c>
      <c r="D268">
        <v>1.2</v>
      </c>
    </row>
    <row r="269" spans="1:4">
      <c r="A269">
        <v>2003</v>
      </c>
      <c r="B269">
        <v>2</v>
      </c>
      <c r="C269">
        <v>1.17</v>
      </c>
      <c r="D269">
        <v>1.18</v>
      </c>
    </row>
    <row r="270" spans="1:4">
      <c r="A270">
        <v>2003</v>
      </c>
      <c r="B270">
        <v>3</v>
      </c>
      <c r="C270">
        <v>1.1299999999999999</v>
      </c>
      <c r="D270">
        <v>1.1299999999999999</v>
      </c>
    </row>
    <row r="271" spans="1:4">
      <c r="A271">
        <v>2003</v>
      </c>
      <c r="B271">
        <v>4</v>
      </c>
      <c r="C271">
        <v>1.1299999999999999</v>
      </c>
      <c r="D271">
        <v>1.1399999999999999</v>
      </c>
    </row>
    <row r="272" spans="1:4">
      <c r="A272">
        <v>2003</v>
      </c>
      <c r="B272">
        <v>5</v>
      </c>
      <c r="C272">
        <v>1.07</v>
      </c>
      <c r="D272">
        <v>1.08</v>
      </c>
    </row>
    <row r="273" spans="1:4">
      <c r="A273">
        <v>2003</v>
      </c>
      <c r="B273">
        <v>6</v>
      </c>
      <c r="C273">
        <v>0.92</v>
      </c>
      <c r="D273">
        <v>0.92</v>
      </c>
    </row>
    <row r="274" spans="1:4">
      <c r="A274">
        <v>2003</v>
      </c>
      <c r="B274">
        <v>7</v>
      </c>
      <c r="C274">
        <v>0.9</v>
      </c>
      <c r="D274">
        <v>0.95</v>
      </c>
    </row>
    <row r="275" spans="1:4">
      <c r="A275">
        <v>2003</v>
      </c>
      <c r="B275">
        <v>8</v>
      </c>
      <c r="C275">
        <v>0.95</v>
      </c>
      <c r="D275">
        <v>1.03</v>
      </c>
    </row>
    <row r="276" spans="1:4">
      <c r="A276">
        <v>2003</v>
      </c>
      <c r="B276">
        <v>9</v>
      </c>
      <c r="C276">
        <v>0.94</v>
      </c>
      <c r="D276">
        <v>1.01</v>
      </c>
    </row>
    <row r="277" spans="1:4">
      <c r="A277">
        <v>2003</v>
      </c>
      <c r="B277">
        <v>10</v>
      </c>
      <c r="C277">
        <v>0.92</v>
      </c>
      <c r="D277">
        <v>1</v>
      </c>
    </row>
    <row r="278" spans="1:4">
      <c r="A278">
        <v>2003</v>
      </c>
      <c r="B278">
        <v>11</v>
      </c>
      <c r="C278">
        <v>0.93</v>
      </c>
      <c r="D278">
        <v>1.02</v>
      </c>
    </row>
    <row r="279" spans="1:4">
      <c r="A279">
        <v>2003</v>
      </c>
      <c r="B279">
        <v>12</v>
      </c>
      <c r="C279">
        <v>0.9</v>
      </c>
      <c r="D279">
        <v>0.99</v>
      </c>
    </row>
    <row r="280" spans="1:4">
      <c r="A280">
        <v>2004</v>
      </c>
      <c r="B280">
        <v>1</v>
      </c>
      <c r="C280">
        <v>0.88</v>
      </c>
      <c r="D280">
        <v>0.97</v>
      </c>
    </row>
    <row r="281" spans="1:4">
      <c r="A281">
        <v>2004</v>
      </c>
      <c r="B281">
        <v>2</v>
      </c>
      <c r="C281">
        <v>0.93</v>
      </c>
      <c r="D281">
        <v>0.99</v>
      </c>
    </row>
    <row r="282" spans="1:4">
      <c r="A282">
        <v>2004</v>
      </c>
      <c r="B282">
        <v>3</v>
      </c>
      <c r="C282">
        <v>0.94</v>
      </c>
      <c r="D282">
        <v>0.99</v>
      </c>
    </row>
    <row r="283" spans="1:4">
      <c r="A283">
        <v>2004</v>
      </c>
      <c r="B283">
        <v>4</v>
      </c>
      <c r="C283">
        <v>0.94</v>
      </c>
      <c r="D283">
        <v>1.0900000000000001</v>
      </c>
    </row>
    <row r="284" spans="1:4">
      <c r="A284">
        <v>2004</v>
      </c>
      <c r="B284">
        <v>5</v>
      </c>
      <c r="C284">
        <v>1.02</v>
      </c>
      <c r="D284">
        <v>1.31</v>
      </c>
    </row>
    <row r="285" spans="1:4">
      <c r="A285">
        <v>2004</v>
      </c>
      <c r="B285">
        <v>6</v>
      </c>
      <c r="C285">
        <v>1.27</v>
      </c>
      <c r="D285">
        <v>1.6</v>
      </c>
    </row>
    <row r="286" spans="1:4">
      <c r="A286">
        <v>2004</v>
      </c>
      <c r="B286">
        <v>7</v>
      </c>
      <c r="C286">
        <v>1.33</v>
      </c>
      <c r="D286">
        <v>1.66</v>
      </c>
    </row>
    <row r="287" spans="1:4">
      <c r="A287">
        <v>2004</v>
      </c>
      <c r="B287">
        <v>8</v>
      </c>
      <c r="C287">
        <v>1.48</v>
      </c>
      <c r="D287">
        <v>1.72</v>
      </c>
    </row>
    <row r="288" spans="1:4">
      <c r="A288">
        <v>2004</v>
      </c>
      <c r="B288">
        <v>9</v>
      </c>
      <c r="C288">
        <v>1.65</v>
      </c>
      <c r="D288">
        <v>1.87</v>
      </c>
    </row>
    <row r="289" spans="1:4">
      <c r="A289">
        <v>2004</v>
      </c>
      <c r="B289">
        <v>10</v>
      </c>
      <c r="C289">
        <v>1.76</v>
      </c>
      <c r="D289">
        <v>2</v>
      </c>
    </row>
    <row r="290" spans="1:4">
      <c r="A290">
        <v>2004</v>
      </c>
      <c r="B290">
        <v>11</v>
      </c>
      <c r="C290">
        <v>2.0699999999999998</v>
      </c>
      <c r="D290">
        <v>2.27</v>
      </c>
    </row>
    <row r="291" spans="1:4">
      <c r="A291">
        <v>2004</v>
      </c>
      <c r="B291">
        <v>12</v>
      </c>
      <c r="C291">
        <v>2.19</v>
      </c>
      <c r="D291">
        <v>2.4300000000000002</v>
      </c>
    </row>
    <row r="292" spans="1:4">
      <c r="A292">
        <v>2005</v>
      </c>
      <c r="B292">
        <v>1</v>
      </c>
      <c r="C292">
        <v>2.33</v>
      </c>
      <c r="D292">
        <v>2.61</v>
      </c>
    </row>
    <row r="293" spans="1:4">
      <c r="A293">
        <v>2005</v>
      </c>
      <c r="B293">
        <v>2</v>
      </c>
      <c r="C293">
        <v>2.54</v>
      </c>
      <c r="D293">
        <v>2.77</v>
      </c>
    </row>
    <row r="294" spans="1:4">
      <c r="A294">
        <v>2005</v>
      </c>
      <c r="B294">
        <v>3</v>
      </c>
      <c r="C294">
        <v>2.74</v>
      </c>
      <c r="D294">
        <v>3</v>
      </c>
    </row>
    <row r="295" spans="1:4">
      <c r="A295">
        <v>2005</v>
      </c>
      <c r="B295">
        <v>4</v>
      </c>
      <c r="C295">
        <v>2.78</v>
      </c>
      <c r="D295">
        <v>3.05</v>
      </c>
    </row>
    <row r="296" spans="1:4">
      <c r="A296">
        <v>2005</v>
      </c>
      <c r="B296">
        <v>5</v>
      </c>
      <c r="C296">
        <v>2.84</v>
      </c>
      <c r="D296">
        <v>3.08</v>
      </c>
    </row>
    <row r="297" spans="1:4">
      <c r="A297">
        <v>2005</v>
      </c>
      <c r="B297">
        <v>6</v>
      </c>
      <c r="C297">
        <v>2.97</v>
      </c>
      <c r="D297">
        <v>3.13</v>
      </c>
    </row>
    <row r="298" spans="1:4">
      <c r="A298">
        <v>2005</v>
      </c>
      <c r="B298">
        <v>7</v>
      </c>
      <c r="C298">
        <v>3.22</v>
      </c>
      <c r="D298">
        <v>3.42</v>
      </c>
    </row>
    <row r="299" spans="1:4">
      <c r="A299">
        <v>2005</v>
      </c>
      <c r="B299">
        <v>8</v>
      </c>
      <c r="C299">
        <v>3.44</v>
      </c>
      <c r="D299">
        <v>3.66</v>
      </c>
    </row>
    <row r="300" spans="1:4">
      <c r="A300">
        <v>2005</v>
      </c>
      <c r="B300">
        <v>9</v>
      </c>
      <c r="C300">
        <v>3.42</v>
      </c>
      <c r="D300">
        <v>3.67</v>
      </c>
    </row>
    <row r="301" spans="1:4">
      <c r="A301">
        <v>2005</v>
      </c>
      <c r="B301">
        <v>10</v>
      </c>
      <c r="C301">
        <v>3.71</v>
      </c>
      <c r="D301">
        <v>3.99</v>
      </c>
    </row>
    <row r="302" spans="1:4">
      <c r="A302">
        <v>2005</v>
      </c>
      <c r="B302">
        <v>11</v>
      </c>
      <c r="C302">
        <v>3.88</v>
      </c>
      <c r="D302">
        <v>4.1500000000000004</v>
      </c>
    </row>
    <row r="303" spans="1:4">
      <c r="A303">
        <v>2005</v>
      </c>
      <c r="B303">
        <v>12</v>
      </c>
      <c r="C303">
        <v>3.89</v>
      </c>
      <c r="D303">
        <v>4.18</v>
      </c>
    </row>
    <row r="304" spans="1:4">
      <c r="A304">
        <v>2006</v>
      </c>
      <c r="B304">
        <v>1</v>
      </c>
      <c r="C304">
        <v>4.24</v>
      </c>
      <c r="D304">
        <v>4.3099999999999996</v>
      </c>
    </row>
    <row r="305" spans="1:4">
      <c r="A305">
        <v>2006</v>
      </c>
      <c r="B305">
        <v>2</v>
      </c>
      <c r="C305">
        <v>4.43</v>
      </c>
      <c r="D305">
        <v>4.5199999999999996</v>
      </c>
    </row>
    <row r="306" spans="1:4">
      <c r="A306">
        <v>2006</v>
      </c>
      <c r="B306">
        <v>3</v>
      </c>
      <c r="C306">
        <v>4.51</v>
      </c>
      <c r="D306">
        <v>4.62</v>
      </c>
    </row>
    <row r="307" spans="1:4">
      <c r="A307">
        <v>2006</v>
      </c>
      <c r="B307">
        <v>4</v>
      </c>
      <c r="C307">
        <v>4.5999999999999996</v>
      </c>
      <c r="D307">
        <v>4.72</v>
      </c>
    </row>
    <row r="308" spans="1:4">
      <c r="A308">
        <v>2006</v>
      </c>
      <c r="B308">
        <v>5</v>
      </c>
      <c r="C308">
        <v>4.72</v>
      </c>
      <c r="D308">
        <v>4.82</v>
      </c>
    </row>
    <row r="309" spans="1:4">
      <c r="A309">
        <v>2006</v>
      </c>
      <c r="B309">
        <v>6</v>
      </c>
      <c r="C309">
        <v>4.79</v>
      </c>
      <c r="D309">
        <v>4.97</v>
      </c>
    </row>
    <row r="310" spans="1:4">
      <c r="A310">
        <v>2006</v>
      </c>
      <c r="B310">
        <v>7</v>
      </c>
      <c r="C310">
        <v>4.95</v>
      </c>
      <c r="D310">
        <v>5.0599999999999996</v>
      </c>
    </row>
    <row r="311" spans="1:4">
      <c r="A311">
        <v>2006</v>
      </c>
      <c r="B311">
        <v>8</v>
      </c>
      <c r="C311">
        <v>4.96</v>
      </c>
      <c r="D311">
        <v>4.97</v>
      </c>
    </row>
    <row r="312" spans="1:4">
      <c r="A312">
        <v>2006</v>
      </c>
      <c r="B312">
        <v>9</v>
      </c>
      <c r="C312">
        <v>4.8099999999999996</v>
      </c>
      <c r="D312">
        <v>4.8899999999999997</v>
      </c>
    </row>
    <row r="313" spans="1:4">
      <c r="A313">
        <v>2006</v>
      </c>
      <c r="B313">
        <v>10</v>
      </c>
      <c r="C313">
        <v>4.92</v>
      </c>
      <c r="D313">
        <v>4.92</v>
      </c>
    </row>
    <row r="314" spans="1:4">
      <c r="A314">
        <v>2006</v>
      </c>
      <c r="B314">
        <v>11</v>
      </c>
      <c r="C314">
        <v>4.9400000000000004</v>
      </c>
      <c r="D314">
        <v>4.95</v>
      </c>
    </row>
    <row r="315" spans="1:4">
      <c r="A315">
        <v>2006</v>
      </c>
      <c r="B315">
        <v>12</v>
      </c>
      <c r="C315">
        <v>4.8499999999999996</v>
      </c>
      <c r="D315">
        <v>4.88</v>
      </c>
    </row>
    <row r="316" spans="1:4">
      <c r="A316">
        <v>2007</v>
      </c>
      <c r="B316">
        <v>1</v>
      </c>
      <c r="C316">
        <v>4.9800000000000004</v>
      </c>
      <c r="D316">
        <v>4.95</v>
      </c>
    </row>
    <row r="317" spans="1:4">
      <c r="A317">
        <v>2007</v>
      </c>
      <c r="B317">
        <v>2</v>
      </c>
      <c r="C317">
        <v>5.03</v>
      </c>
      <c r="D317">
        <v>4.96</v>
      </c>
    </row>
    <row r="318" spans="1:4">
      <c r="A318">
        <v>2007</v>
      </c>
      <c r="B318">
        <v>3</v>
      </c>
      <c r="C318">
        <v>4.9400000000000004</v>
      </c>
      <c r="D318">
        <v>4.8899999999999997</v>
      </c>
    </row>
    <row r="319" spans="1:4">
      <c r="A319">
        <v>2007</v>
      </c>
      <c r="B319">
        <v>4</v>
      </c>
      <c r="C319">
        <v>4.87</v>
      </c>
      <c r="D319">
        <v>4.8600000000000003</v>
      </c>
    </row>
    <row r="320" spans="1:4">
      <c r="A320">
        <v>2007</v>
      </c>
      <c r="B320">
        <v>5</v>
      </c>
      <c r="C320">
        <v>4.7300000000000004</v>
      </c>
      <c r="D320">
        <v>4.78</v>
      </c>
    </row>
    <row r="321" spans="1:4">
      <c r="A321">
        <v>2007</v>
      </c>
      <c r="B321">
        <v>6</v>
      </c>
      <c r="C321">
        <v>4.6100000000000003</v>
      </c>
      <c r="D321">
        <v>4.76</v>
      </c>
    </row>
    <row r="322" spans="1:4">
      <c r="A322">
        <v>2007</v>
      </c>
      <c r="B322">
        <v>7</v>
      </c>
      <c r="C322">
        <v>4.82</v>
      </c>
      <c r="D322">
        <v>4.83</v>
      </c>
    </row>
    <row r="323" spans="1:4">
      <c r="A323">
        <v>2007</v>
      </c>
      <c r="B323">
        <v>8</v>
      </c>
      <c r="C323">
        <v>4.2</v>
      </c>
      <c r="D323">
        <v>4.38</v>
      </c>
    </row>
    <row r="324" spans="1:4">
      <c r="A324">
        <v>2007</v>
      </c>
      <c r="B324">
        <v>9</v>
      </c>
      <c r="C324">
        <v>3.89</v>
      </c>
      <c r="D324">
        <v>4.05</v>
      </c>
    </row>
    <row r="325" spans="1:4">
      <c r="A325">
        <v>2007</v>
      </c>
      <c r="B325">
        <v>10</v>
      </c>
      <c r="C325">
        <v>3.9</v>
      </c>
      <c r="D325">
        <v>4.01</v>
      </c>
    </row>
    <row r="326" spans="1:4">
      <c r="A326">
        <v>2007</v>
      </c>
      <c r="B326">
        <v>11</v>
      </c>
      <c r="C326">
        <v>3.27</v>
      </c>
      <c r="D326">
        <v>3.46</v>
      </c>
    </row>
    <row r="327" spans="1:4">
      <c r="A327">
        <v>2007</v>
      </c>
      <c r="B327">
        <v>12</v>
      </c>
      <c r="C327">
        <v>3</v>
      </c>
      <c r="D327">
        <v>3.23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A99CE-ABB7-4541-BA07-1B565498FC61}">
  <dimension ref="A1:D28"/>
  <sheetViews>
    <sheetView topLeftCell="A10" workbookViewId="0">
      <selection activeCell="D28" sqref="D28"/>
    </sheetView>
  </sheetViews>
  <sheetFormatPr defaultRowHeight="15"/>
  <sheetData>
    <row r="1" spans="1:4">
      <c r="A1" t="s">
        <v>1247</v>
      </c>
    </row>
    <row r="2" spans="1:4">
      <c r="A2" t="s">
        <v>1248</v>
      </c>
    </row>
    <row r="3" spans="1:4">
      <c r="A3" t="s">
        <v>1249</v>
      </c>
    </row>
    <row r="4" spans="1:4">
      <c r="A4" t="s">
        <v>1250</v>
      </c>
    </row>
    <row r="5" spans="1:4">
      <c r="A5" t="s">
        <v>63</v>
      </c>
      <c r="B5" t="s">
        <v>1251</v>
      </c>
      <c r="C5" t="s">
        <v>1252</v>
      </c>
      <c r="D5" t="s">
        <v>1253</v>
      </c>
    </row>
    <row r="6" spans="1:4">
      <c r="A6">
        <v>1980</v>
      </c>
      <c r="B6">
        <v>63.8</v>
      </c>
      <c r="C6">
        <v>7.1</v>
      </c>
      <c r="D6">
        <v>7.78</v>
      </c>
    </row>
    <row r="7" spans="1:4">
      <c r="A7">
        <v>1981</v>
      </c>
      <c r="B7">
        <v>63.9</v>
      </c>
      <c r="C7">
        <v>7.6</v>
      </c>
      <c r="D7">
        <v>7.69</v>
      </c>
    </row>
    <row r="8" spans="1:4">
      <c r="A8">
        <v>1982</v>
      </c>
      <c r="B8">
        <v>64</v>
      </c>
      <c r="C8">
        <v>9.6999999999999993</v>
      </c>
      <c r="D8">
        <v>7.68</v>
      </c>
    </row>
    <row r="9" spans="1:4">
      <c r="A9">
        <v>1982</v>
      </c>
      <c r="B9">
        <v>64</v>
      </c>
      <c r="C9">
        <v>9.6</v>
      </c>
      <c r="D9">
        <v>7.79</v>
      </c>
    </row>
    <row r="10" spans="1:4">
      <c r="A10">
        <v>1984</v>
      </c>
      <c r="B10">
        <v>64.400000000000006</v>
      </c>
      <c r="C10">
        <v>7.5</v>
      </c>
      <c r="D10">
        <v>7.8</v>
      </c>
    </row>
    <row r="11" spans="1:4">
      <c r="A11">
        <v>1985</v>
      </c>
      <c r="B11">
        <v>64.8</v>
      </c>
      <c r="C11">
        <v>7.2</v>
      </c>
      <c r="D11">
        <v>7.77</v>
      </c>
    </row>
    <row r="12" spans="1:4">
      <c r="A12">
        <v>1986</v>
      </c>
      <c r="B12">
        <v>65.3</v>
      </c>
      <c r="C12">
        <v>7</v>
      </c>
      <c r="D12">
        <v>7.81</v>
      </c>
    </row>
    <row r="13" spans="1:4">
      <c r="A13">
        <v>1987</v>
      </c>
      <c r="B13">
        <v>65.599999999999994</v>
      </c>
      <c r="C13">
        <v>6.2</v>
      </c>
      <c r="D13">
        <v>7.73</v>
      </c>
    </row>
    <row r="14" spans="1:4">
      <c r="A14">
        <v>1988</v>
      </c>
      <c r="B14">
        <v>65.900000000000006</v>
      </c>
      <c r="C14">
        <v>5.5</v>
      </c>
      <c r="D14">
        <v>7.69</v>
      </c>
    </row>
    <row r="15" spans="1:4">
      <c r="A15">
        <v>1989</v>
      </c>
      <c r="B15">
        <v>66.5</v>
      </c>
      <c r="C15">
        <v>5.3</v>
      </c>
      <c r="D15">
        <v>7.64</v>
      </c>
    </row>
    <row r="16" spans="1:4">
      <c r="A16">
        <v>1990</v>
      </c>
      <c r="B16">
        <v>66.5</v>
      </c>
      <c r="C16">
        <v>5.6</v>
      </c>
      <c r="D16">
        <v>7.52</v>
      </c>
    </row>
    <row r="17" spans="1:4">
      <c r="A17">
        <v>1991</v>
      </c>
      <c r="B17">
        <v>66.2</v>
      </c>
      <c r="C17">
        <v>6.8</v>
      </c>
      <c r="D17">
        <v>7.45</v>
      </c>
    </row>
    <row r="18" spans="1:4">
      <c r="A18">
        <v>1992</v>
      </c>
      <c r="B18">
        <v>66.400000000000006</v>
      </c>
      <c r="C18">
        <v>7.5</v>
      </c>
      <c r="D18">
        <v>7.41</v>
      </c>
    </row>
    <row r="19" spans="1:4">
      <c r="A19">
        <v>1993</v>
      </c>
      <c r="B19">
        <v>66.3</v>
      </c>
      <c r="C19">
        <v>6.9</v>
      </c>
      <c r="D19">
        <v>7.39</v>
      </c>
    </row>
    <row r="20" spans="1:4">
      <c r="A20">
        <v>1994</v>
      </c>
      <c r="B20">
        <v>66.599999999999994</v>
      </c>
      <c r="C20">
        <v>6.1</v>
      </c>
      <c r="D20">
        <v>7.4</v>
      </c>
    </row>
    <row r="21" spans="1:4">
      <c r="A21">
        <v>1995</v>
      </c>
      <c r="B21">
        <v>66.599999999999994</v>
      </c>
      <c r="C21">
        <v>5.6</v>
      </c>
      <c r="D21">
        <v>7.4</v>
      </c>
    </row>
    <row r="22" spans="1:4">
      <c r="A22">
        <v>1996</v>
      </c>
      <c r="B22">
        <v>66.8</v>
      </c>
      <c r="C22">
        <v>5.4</v>
      </c>
      <c r="D22">
        <v>7.43</v>
      </c>
    </row>
    <row r="23" spans="1:4">
      <c r="A23">
        <v>1997</v>
      </c>
      <c r="B23">
        <v>67.099999999999994</v>
      </c>
      <c r="C23">
        <v>4.9000000000000004</v>
      </c>
      <c r="D23">
        <v>7.55</v>
      </c>
    </row>
    <row r="24" spans="1:4">
      <c r="A24">
        <v>1998</v>
      </c>
      <c r="B24">
        <v>67.099999999999994</v>
      </c>
      <c r="C24">
        <v>4.5</v>
      </c>
      <c r="D24">
        <v>7.75</v>
      </c>
    </row>
    <row r="25" spans="1:4">
      <c r="A25">
        <v>1999</v>
      </c>
      <c r="B25">
        <v>67.099999999999994</v>
      </c>
      <c r="C25">
        <v>4.2</v>
      </c>
      <c r="D25">
        <v>7.86</v>
      </c>
    </row>
    <row r="26" spans="1:4">
      <c r="A26">
        <v>2000</v>
      </c>
      <c r="B26">
        <v>67.2</v>
      </c>
      <c r="C26">
        <v>4</v>
      </c>
      <c r="D26">
        <v>7.89</v>
      </c>
    </row>
    <row r="27" spans="1:4">
      <c r="A27">
        <v>2001</v>
      </c>
      <c r="B27">
        <v>66.900000000000006</v>
      </c>
      <c r="C27">
        <v>4.8</v>
      </c>
      <c r="D27">
        <v>7.99</v>
      </c>
    </row>
    <row r="28" spans="1:4">
      <c r="A28">
        <v>2002</v>
      </c>
      <c r="B28">
        <v>66.599999999999994</v>
      </c>
      <c r="C28">
        <v>5.8</v>
      </c>
      <c r="D28">
        <v>8.14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CA14-6C0E-4FF8-9489-A12B63E5822F}">
  <dimension ref="A1:C49"/>
  <sheetViews>
    <sheetView topLeftCell="A37" workbookViewId="0">
      <selection activeCell="C49" sqref="C49"/>
    </sheetView>
  </sheetViews>
  <sheetFormatPr defaultRowHeight="15"/>
  <sheetData>
    <row r="1" spans="1:3">
      <c r="A1" t="s">
        <v>1254</v>
      </c>
    </row>
    <row r="3" spans="1:3">
      <c r="A3" t="s">
        <v>63</v>
      </c>
      <c r="B3" t="s">
        <v>1255</v>
      </c>
      <c r="C3" t="s">
        <v>1256</v>
      </c>
    </row>
    <row r="4" spans="1:3">
      <c r="A4">
        <v>1960</v>
      </c>
      <c r="B4" s="85">
        <v>1597.4</v>
      </c>
      <c r="C4" s="85">
        <v>2501.8000000000002</v>
      </c>
    </row>
    <row r="5" spans="1:3">
      <c r="A5">
        <v>1961</v>
      </c>
      <c r="B5" s="85">
        <v>1630.3</v>
      </c>
      <c r="C5" s="85">
        <v>2560</v>
      </c>
    </row>
    <row r="6" spans="1:3">
      <c r="A6">
        <v>1962</v>
      </c>
      <c r="B6" s="85">
        <v>1711.1</v>
      </c>
      <c r="C6" s="85">
        <v>2715.2</v>
      </c>
    </row>
    <row r="7" spans="1:3">
      <c r="A7">
        <v>1963</v>
      </c>
      <c r="B7" s="85">
        <v>1781.6</v>
      </c>
      <c r="C7" s="85">
        <v>2834</v>
      </c>
    </row>
    <row r="8" spans="1:3">
      <c r="A8">
        <v>1964</v>
      </c>
      <c r="B8" s="85">
        <v>1888.4</v>
      </c>
      <c r="C8" s="85">
        <v>2998.6</v>
      </c>
    </row>
    <row r="9" spans="1:3">
      <c r="A9">
        <v>1965</v>
      </c>
      <c r="B9" s="85">
        <v>2007.7</v>
      </c>
      <c r="C9" s="85">
        <v>3191.1</v>
      </c>
    </row>
    <row r="10" spans="1:3">
      <c r="A10">
        <v>1966</v>
      </c>
      <c r="B10" s="85">
        <v>2121.8000000000002</v>
      </c>
      <c r="C10" s="85">
        <v>3399.1</v>
      </c>
    </row>
    <row r="11" spans="1:3">
      <c r="A11">
        <v>1967</v>
      </c>
      <c r="B11" s="85">
        <v>2185</v>
      </c>
      <c r="C11" s="85">
        <v>3484.6</v>
      </c>
    </row>
    <row r="12" spans="1:3">
      <c r="A12">
        <v>1968</v>
      </c>
      <c r="B12" s="85">
        <v>2310.5</v>
      </c>
      <c r="C12" s="85">
        <v>3652.7</v>
      </c>
    </row>
    <row r="13" spans="1:3">
      <c r="A13">
        <v>1969</v>
      </c>
      <c r="B13" s="85">
        <v>2396.4</v>
      </c>
      <c r="C13" s="85">
        <v>3765.4</v>
      </c>
    </row>
    <row r="14" spans="1:3">
      <c r="A14">
        <v>1970</v>
      </c>
      <c r="B14" s="85">
        <v>2451.9</v>
      </c>
      <c r="C14" s="85">
        <v>3771.9</v>
      </c>
    </row>
    <row r="15" spans="1:3">
      <c r="A15">
        <v>1971</v>
      </c>
      <c r="B15" s="85">
        <v>2545.5</v>
      </c>
      <c r="C15" s="85">
        <v>3898.6</v>
      </c>
    </row>
    <row r="16" spans="1:3">
      <c r="A16">
        <v>1972</v>
      </c>
      <c r="B16" s="85">
        <v>2701.3</v>
      </c>
      <c r="C16" s="85">
        <v>4105</v>
      </c>
    </row>
    <row r="17" spans="1:3">
      <c r="A17">
        <v>1973</v>
      </c>
      <c r="B17" s="85">
        <v>2833.8</v>
      </c>
      <c r="C17" s="85">
        <v>4341.5</v>
      </c>
    </row>
    <row r="18" spans="1:3">
      <c r="A18">
        <v>1974</v>
      </c>
      <c r="B18" s="85">
        <v>2812.3</v>
      </c>
      <c r="C18" s="85">
        <v>4319.6000000000004</v>
      </c>
    </row>
    <row r="19" spans="1:3">
      <c r="A19">
        <v>1975</v>
      </c>
      <c r="B19" s="85">
        <v>2876.9</v>
      </c>
      <c r="C19" s="85">
        <v>4311.2</v>
      </c>
    </row>
    <row r="20" spans="1:3">
      <c r="A20">
        <v>1976</v>
      </c>
      <c r="B20" s="85">
        <v>3035.5</v>
      </c>
      <c r="C20" s="85">
        <v>4540.8999999999996</v>
      </c>
    </row>
    <row r="21" spans="1:3">
      <c r="A21">
        <v>1977</v>
      </c>
      <c r="B21" s="85">
        <v>3164.1</v>
      </c>
      <c r="C21" s="85">
        <v>4750.5</v>
      </c>
    </row>
    <row r="22" spans="1:3">
      <c r="A22">
        <v>1978</v>
      </c>
      <c r="B22" s="85">
        <v>3303.1</v>
      </c>
      <c r="C22" s="85">
        <v>5015</v>
      </c>
    </row>
    <row r="23" spans="1:3">
      <c r="A23">
        <v>1979</v>
      </c>
      <c r="B23" s="85">
        <v>3383.4</v>
      </c>
      <c r="C23" s="85">
        <v>5173.3999999999996</v>
      </c>
    </row>
    <row r="24" spans="1:3">
      <c r="A24">
        <v>1980</v>
      </c>
      <c r="B24" s="85">
        <v>3374.1</v>
      </c>
      <c r="C24" s="85">
        <v>5161.7</v>
      </c>
    </row>
    <row r="25" spans="1:3">
      <c r="A25">
        <v>1981</v>
      </c>
      <c r="B25" s="85">
        <v>3422.2</v>
      </c>
      <c r="C25" s="85">
        <v>5291.7</v>
      </c>
    </row>
    <row r="26" spans="1:3">
      <c r="A26">
        <v>1982</v>
      </c>
      <c r="B26" s="85">
        <v>3470.3</v>
      </c>
      <c r="C26" s="85">
        <v>5189.3</v>
      </c>
    </row>
    <row r="27" spans="1:3">
      <c r="A27">
        <v>1983</v>
      </c>
      <c r="B27" s="85">
        <v>3668.6</v>
      </c>
      <c r="C27" s="85">
        <v>5423.8</v>
      </c>
    </row>
    <row r="28" spans="1:3">
      <c r="A28">
        <v>1984</v>
      </c>
      <c r="B28" s="85">
        <v>3863.3</v>
      </c>
      <c r="C28" s="85">
        <v>5813.6</v>
      </c>
    </row>
    <row r="29" spans="1:3">
      <c r="A29">
        <v>1985</v>
      </c>
      <c r="B29" s="85">
        <v>4064</v>
      </c>
      <c r="C29" s="85">
        <v>6053.7</v>
      </c>
    </row>
    <row r="30" spans="1:3">
      <c r="A30">
        <v>1986</v>
      </c>
      <c r="B30" s="85">
        <v>4228.8999999999996</v>
      </c>
      <c r="C30" s="85">
        <v>6263.6</v>
      </c>
    </row>
    <row r="31" spans="1:3">
      <c r="A31">
        <v>1987</v>
      </c>
      <c r="B31" s="85">
        <v>4369.8</v>
      </c>
      <c r="C31" s="85">
        <v>6475.1</v>
      </c>
    </row>
    <row r="32" spans="1:3">
      <c r="A32">
        <v>1988</v>
      </c>
      <c r="B32" s="85">
        <v>4546.8999999999996</v>
      </c>
      <c r="C32" s="85">
        <v>6742.7</v>
      </c>
    </row>
    <row r="33" spans="1:3">
      <c r="A33">
        <v>1989</v>
      </c>
      <c r="B33" s="85">
        <v>4675</v>
      </c>
      <c r="C33" s="85">
        <v>6981.4</v>
      </c>
    </row>
    <row r="34" spans="1:3">
      <c r="A34">
        <v>1990</v>
      </c>
      <c r="B34" s="85">
        <v>4770.3</v>
      </c>
      <c r="C34" s="85">
        <v>7112.5</v>
      </c>
    </row>
    <row r="35" spans="1:3">
      <c r="A35">
        <v>1991</v>
      </c>
      <c r="B35" s="85">
        <v>4778.3999999999996</v>
      </c>
      <c r="C35" s="85">
        <v>7100.5</v>
      </c>
    </row>
    <row r="36" spans="1:3">
      <c r="A36">
        <v>1992</v>
      </c>
      <c r="B36" s="85">
        <v>4934.8</v>
      </c>
      <c r="C36" s="85">
        <v>7336.6</v>
      </c>
    </row>
    <row r="37" spans="1:3">
      <c r="A37">
        <v>1993</v>
      </c>
      <c r="B37" s="85">
        <v>5099.8</v>
      </c>
      <c r="C37" s="85">
        <v>7532.7</v>
      </c>
    </row>
    <row r="38" spans="1:3">
      <c r="A38">
        <v>1994</v>
      </c>
      <c r="B38" s="85">
        <v>5290.7</v>
      </c>
      <c r="C38" s="85">
        <v>7835.5</v>
      </c>
    </row>
    <row r="39" spans="1:3">
      <c r="A39">
        <v>1995</v>
      </c>
      <c r="B39" s="85">
        <v>5433.5</v>
      </c>
      <c r="C39" s="85">
        <v>8031.7</v>
      </c>
    </row>
    <row r="40" spans="1:3">
      <c r="A40">
        <v>1996</v>
      </c>
      <c r="B40" s="85">
        <v>5619.4</v>
      </c>
      <c r="C40" s="85">
        <v>8328.9</v>
      </c>
    </row>
    <row r="41" spans="1:3">
      <c r="A41">
        <v>1997</v>
      </c>
      <c r="B41" s="85">
        <v>5831.8</v>
      </c>
      <c r="C41" s="85">
        <v>8703.5</v>
      </c>
    </row>
    <row r="42" spans="1:3">
      <c r="A42">
        <v>1998</v>
      </c>
      <c r="B42" s="85">
        <v>6125.8</v>
      </c>
      <c r="C42" s="85">
        <v>9066.9</v>
      </c>
    </row>
    <row r="43" spans="1:3">
      <c r="A43">
        <v>1999</v>
      </c>
      <c r="B43" s="85">
        <v>6438.6</v>
      </c>
      <c r="C43" s="85">
        <v>9470.2999999999993</v>
      </c>
    </row>
    <row r="44" spans="1:3">
      <c r="A44">
        <v>2000</v>
      </c>
      <c r="B44" s="85">
        <v>6739.4</v>
      </c>
      <c r="C44" s="85">
        <v>9817</v>
      </c>
    </row>
    <row r="45" spans="1:3">
      <c r="A45">
        <v>2001</v>
      </c>
      <c r="B45" s="85">
        <v>6910.4</v>
      </c>
      <c r="C45" s="85">
        <v>9890.7000000000007</v>
      </c>
    </row>
    <row r="46" spans="1:3">
      <c r="A46">
        <v>2002</v>
      </c>
      <c r="B46" s="85">
        <v>7099.3</v>
      </c>
      <c r="C46" s="85">
        <v>10048.799999999999</v>
      </c>
    </row>
    <row r="47" spans="1:3">
      <c r="A47">
        <v>2003</v>
      </c>
      <c r="B47" s="85">
        <v>7295.3</v>
      </c>
      <c r="C47" s="85">
        <v>10301</v>
      </c>
    </row>
    <row r="48" spans="1:3">
      <c r="A48">
        <v>2004</v>
      </c>
      <c r="B48" s="85">
        <v>7577.1</v>
      </c>
      <c r="C48" s="85">
        <v>10703.5</v>
      </c>
    </row>
    <row r="49" spans="1:3">
      <c r="A49">
        <v>2005</v>
      </c>
      <c r="B49" s="85">
        <v>7841.2</v>
      </c>
      <c r="C49" s="85">
        <v>11048.6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32AC1-A33D-4BA6-B850-CCC13BB9B512}">
  <dimension ref="A1:I14"/>
  <sheetViews>
    <sheetView workbookViewId="0">
      <selection sqref="A1:I14"/>
    </sheetView>
  </sheetViews>
  <sheetFormatPr defaultRowHeight="15"/>
  <cols>
    <col min="1" max="1" width="14.7109375" bestFit="1" customWidth="1"/>
  </cols>
  <sheetData>
    <row r="1" spans="1:9">
      <c r="A1" s="31" t="s">
        <v>123</v>
      </c>
      <c r="B1" s="31"/>
      <c r="C1" s="31"/>
      <c r="D1" s="31"/>
      <c r="E1" s="31"/>
      <c r="F1" s="31"/>
      <c r="G1" s="31"/>
      <c r="H1" s="31"/>
      <c r="I1" s="31"/>
    </row>
    <row r="3" spans="1:9">
      <c r="A3" s="31" t="s">
        <v>124</v>
      </c>
      <c r="B3" s="31"/>
      <c r="C3" s="32" t="s">
        <v>125</v>
      </c>
      <c r="D3" s="31" t="s">
        <v>118</v>
      </c>
      <c r="E3" s="33"/>
      <c r="F3" s="34" t="s">
        <v>119</v>
      </c>
      <c r="G3" s="33"/>
      <c r="H3" s="34" t="s">
        <v>126</v>
      </c>
      <c r="I3" s="31"/>
    </row>
    <row r="4" spans="1:9">
      <c r="A4" s="35"/>
      <c r="B4" s="35"/>
      <c r="C4" s="36"/>
      <c r="D4" s="35" t="s">
        <v>127</v>
      </c>
      <c r="E4" s="37" t="s">
        <v>52</v>
      </c>
      <c r="F4" s="35" t="s">
        <v>127</v>
      </c>
      <c r="G4" s="37" t="s">
        <v>52</v>
      </c>
      <c r="H4" s="35" t="s">
        <v>127</v>
      </c>
      <c r="I4" s="35" t="s">
        <v>52</v>
      </c>
    </row>
    <row r="5" spans="1:9">
      <c r="A5" s="31" t="s">
        <v>128</v>
      </c>
      <c r="B5" s="31">
        <v>5000</v>
      </c>
      <c r="C5" s="32">
        <v>40610</v>
      </c>
      <c r="D5" s="38">
        <v>427</v>
      </c>
      <c r="E5" s="33">
        <v>107</v>
      </c>
      <c r="F5" s="33">
        <v>451</v>
      </c>
      <c r="G5" s="33">
        <v>122</v>
      </c>
      <c r="H5" s="31">
        <v>423</v>
      </c>
      <c r="I5" s="31">
        <v>104</v>
      </c>
    </row>
    <row r="6" spans="1:9">
      <c r="A6" s="31" t="s">
        <v>129</v>
      </c>
      <c r="B6" s="31">
        <v>15000</v>
      </c>
      <c r="C6" s="32">
        <v>72745</v>
      </c>
      <c r="D6" s="38">
        <v>453</v>
      </c>
      <c r="E6" s="33">
        <v>106</v>
      </c>
      <c r="F6" s="33">
        <v>472</v>
      </c>
      <c r="G6" s="33">
        <v>113</v>
      </c>
      <c r="H6" s="31">
        <v>446</v>
      </c>
      <c r="I6" s="31">
        <v>102</v>
      </c>
    </row>
    <row r="7" spans="1:9">
      <c r="A7" s="31" t="s">
        <v>130</v>
      </c>
      <c r="B7" s="31">
        <v>25000</v>
      </c>
      <c r="C7" s="32">
        <v>61244</v>
      </c>
      <c r="D7" s="38">
        <v>454</v>
      </c>
      <c r="E7" s="33">
        <v>102</v>
      </c>
      <c r="F7" s="33">
        <v>465</v>
      </c>
      <c r="G7" s="33">
        <v>107</v>
      </c>
      <c r="H7" s="31">
        <v>444</v>
      </c>
      <c r="I7" s="31">
        <v>97</v>
      </c>
    </row>
    <row r="8" spans="1:9">
      <c r="A8" s="31" t="s">
        <v>131</v>
      </c>
      <c r="B8" s="31">
        <v>35000</v>
      </c>
      <c r="C8" s="32">
        <v>83685</v>
      </c>
      <c r="D8" s="38">
        <v>476</v>
      </c>
      <c r="E8" s="33">
        <v>103</v>
      </c>
      <c r="F8" s="33">
        <v>485</v>
      </c>
      <c r="G8" s="33">
        <v>106</v>
      </c>
      <c r="H8" s="31">
        <v>466</v>
      </c>
      <c r="I8" s="31">
        <v>98</v>
      </c>
    </row>
    <row r="9" spans="1:9">
      <c r="A9" s="31" t="s">
        <v>132</v>
      </c>
      <c r="B9" s="31">
        <v>45000</v>
      </c>
      <c r="C9" s="32">
        <v>75836</v>
      </c>
      <c r="D9" s="38">
        <v>489</v>
      </c>
      <c r="E9" s="33">
        <v>103</v>
      </c>
      <c r="F9" s="33">
        <v>486</v>
      </c>
      <c r="G9" s="33">
        <v>105</v>
      </c>
      <c r="H9" s="31">
        <v>477</v>
      </c>
      <c r="I9" s="31">
        <v>99</v>
      </c>
    </row>
    <row r="10" spans="1:9">
      <c r="A10" s="31" t="s">
        <v>133</v>
      </c>
      <c r="B10" s="31">
        <v>55000</v>
      </c>
      <c r="C10" s="32">
        <v>80060</v>
      </c>
      <c r="D10" s="38">
        <v>497</v>
      </c>
      <c r="E10" s="33">
        <v>102</v>
      </c>
      <c r="F10" s="33">
        <v>504</v>
      </c>
      <c r="G10" s="33">
        <v>104</v>
      </c>
      <c r="H10" s="31">
        <v>486</v>
      </c>
      <c r="I10" s="31">
        <v>98</v>
      </c>
    </row>
    <row r="11" spans="1:9">
      <c r="A11" s="31" t="s">
        <v>134</v>
      </c>
      <c r="B11" s="31">
        <v>65000</v>
      </c>
      <c r="C11" s="32">
        <v>75763</v>
      </c>
      <c r="D11" s="38">
        <v>504</v>
      </c>
      <c r="E11" s="33">
        <v>102</v>
      </c>
      <c r="F11" s="33">
        <v>511</v>
      </c>
      <c r="G11" s="33">
        <v>103</v>
      </c>
      <c r="H11" s="31">
        <v>493</v>
      </c>
      <c r="I11" s="31">
        <v>98</v>
      </c>
    </row>
    <row r="12" spans="1:9">
      <c r="A12" s="31" t="s">
        <v>135</v>
      </c>
      <c r="B12" s="31">
        <v>75000</v>
      </c>
      <c r="C12" s="32">
        <v>81627</v>
      </c>
      <c r="D12" s="38">
        <v>508</v>
      </c>
      <c r="E12" s="33">
        <v>101</v>
      </c>
      <c r="F12" s="33">
        <v>516</v>
      </c>
      <c r="G12" s="33">
        <v>103</v>
      </c>
      <c r="H12" s="31">
        <v>498</v>
      </c>
      <c r="I12" s="31">
        <v>98</v>
      </c>
    </row>
    <row r="13" spans="1:9">
      <c r="A13" s="31" t="s">
        <v>136</v>
      </c>
      <c r="B13" s="31">
        <v>90000</v>
      </c>
      <c r="C13" s="32">
        <v>130752</v>
      </c>
      <c r="D13" s="38">
        <v>520</v>
      </c>
      <c r="E13" s="33">
        <v>102</v>
      </c>
      <c r="F13" s="33">
        <v>529</v>
      </c>
      <c r="G13" s="33">
        <v>104</v>
      </c>
      <c r="H13" s="31">
        <v>510</v>
      </c>
      <c r="I13" s="31">
        <v>100</v>
      </c>
    </row>
    <row r="14" spans="1:9">
      <c r="A14" s="31" t="s">
        <v>137</v>
      </c>
      <c r="B14" s="31">
        <v>150000</v>
      </c>
      <c r="C14" s="32">
        <v>245025</v>
      </c>
      <c r="D14" s="38">
        <v>544</v>
      </c>
      <c r="E14" s="33">
        <v>105</v>
      </c>
      <c r="F14" s="33">
        <v>556</v>
      </c>
      <c r="G14" s="33">
        <v>107</v>
      </c>
      <c r="H14" s="31">
        <v>537</v>
      </c>
      <c r="I14" s="31">
        <v>103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D898-DD37-44F1-958E-6F8C43F80A79}">
  <dimension ref="A1:C17"/>
  <sheetViews>
    <sheetView workbookViewId="0">
      <selection activeCell="C5" sqref="C5:C17"/>
    </sheetView>
  </sheetViews>
  <sheetFormatPr defaultRowHeight="15"/>
  <sheetData>
    <row r="1" spans="1:3">
      <c r="A1" s="39" t="s">
        <v>138</v>
      </c>
      <c r="B1" s="39" t="s">
        <v>139</v>
      </c>
      <c r="C1" s="39"/>
    </row>
    <row r="4" spans="1:3">
      <c r="A4" s="40" t="s">
        <v>114</v>
      </c>
      <c r="B4" s="40" t="s">
        <v>140</v>
      </c>
      <c r="C4" s="40" t="s">
        <v>141</v>
      </c>
    </row>
    <row r="5" spans="1:3">
      <c r="A5" s="39">
        <v>1</v>
      </c>
      <c r="B5" s="39">
        <v>4.4566999999999997</v>
      </c>
      <c r="C5" s="39">
        <v>6</v>
      </c>
    </row>
    <row r="6" spans="1:3">
      <c r="A6" s="39">
        <v>2</v>
      </c>
      <c r="B6" s="39">
        <v>5.77</v>
      </c>
      <c r="C6" s="39">
        <v>7</v>
      </c>
    </row>
    <row r="7" spans="1:3">
      <c r="A7" s="39">
        <v>3</v>
      </c>
      <c r="B7" s="39">
        <v>5.9786999999999999</v>
      </c>
      <c r="C7" s="39">
        <v>8</v>
      </c>
    </row>
    <row r="8" spans="1:3">
      <c r="A8" s="39">
        <v>4</v>
      </c>
      <c r="B8" s="39">
        <v>7.3316999999999997</v>
      </c>
      <c r="C8" s="39">
        <v>9</v>
      </c>
    </row>
    <row r="9" spans="1:3">
      <c r="A9" s="39">
        <v>5</v>
      </c>
      <c r="B9" s="39">
        <v>7.3182</v>
      </c>
      <c r="C9" s="39">
        <v>10</v>
      </c>
    </row>
    <row r="10" spans="1:3">
      <c r="A10" s="39">
        <v>6</v>
      </c>
      <c r="B10" s="39">
        <v>6.5843999999999996</v>
      </c>
      <c r="C10" s="39">
        <v>11</v>
      </c>
    </row>
    <row r="11" spans="1:3">
      <c r="A11" s="39">
        <v>7</v>
      </c>
      <c r="B11" s="39">
        <v>7.8182</v>
      </c>
      <c r="C11" s="39">
        <v>12</v>
      </c>
    </row>
    <row r="12" spans="1:3">
      <c r="A12" s="39">
        <v>8</v>
      </c>
      <c r="B12" s="39">
        <v>7.8350999999999997</v>
      </c>
      <c r="C12" s="39">
        <v>13</v>
      </c>
    </row>
    <row r="13" spans="1:3">
      <c r="A13" s="39">
        <v>9</v>
      </c>
      <c r="B13" s="39">
        <v>11.0223</v>
      </c>
      <c r="C13" s="39">
        <v>14</v>
      </c>
    </row>
    <row r="14" spans="1:3">
      <c r="A14" s="39">
        <v>10</v>
      </c>
      <c r="B14" s="39">
        <v>10.6738</v>
      </c>
      <c r="C14" s="39">
        <v>15</v>
      </c>
    </row>
    <row r="15" spans="1:3">
      <c r="A15" s="39">
        <v>11</v>
      </c>
      <c r="B15" s="39">
        <v>10.8361</v>
      </c>
      <c r="C15" s="39">
        <v>16</v>
      </c>
    </row>
    <row r="16" spans="1:3">
      <c r="A16" s="39">
        <v>12</v>
      </c>
      <c r="B16" s="39">
        <v>13.615</v>
      </c>
      <c r="C16" s="39">
        <v>17</v>
      </c>
    </row>
    <row r="17" spans="1:3">
      <c r="A17" s="39">
        <v>13</v>
      </c>
      <c r="B17" s="39">
        <v>13.531000000000001</v>
      </c>
      <c r="C17" s="39"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274C-C022-440A-A952-F65458CCEC15}">
  <dimension ref="A1:G38"/>
  <sheetViews>
    <sheetView workbookViewId="0">
      <selection activeCell="E1" sqref="E1:E1048576"/>
    </sheetView>
  </sheetViews>
  <sheetFormatPr defaultRowHeight="15"/>
  <sheetData>
    <row r="1" spans="1:7">
      <c r="A1" s="60" t="s">
        <v>142</v>
      </c>
      <c r="B1" s="60"/>
      <c r="C1" s="60"/>
      <c r="D1" s="60"/>
      <c r="E1" s="60"/>
      <c r="F1" s="60"/>
      <c r="G1" s="60"/>
    </row>
    <row r="4" spans="1:7">
      <c r="A4" s="60" t="s">
        <v>143</v>
      </c>
      <c r="B4" s="60" t="s">
        <v>144</v>
      </c>
      <c r="C4" s="60" t="s">
        <v>145</v>
      </c>
      <c r="D4" s="60" t="s">
        <v>146</v>
      </c>
      <c r="E4" s="60" t="s">
        <v>147</v>
      </c>
      <c r="F4" s="60" t="s">
        <v>148</v>
      </c>
      <c r="G4" s="60" t="s">
        <v>149</v>
      </c>
    </row>
    <row r="5" spans="1:7">
      <c r="A5" s="60" t="s">
        <v>150</v>
      </c>
      <c r="B5" s="60">
        <v>17.760000000000002</v>
      </c>
      <c r="C5" s="60">
        <v>8.1999999999999993</v>
      </c>
      <c r="D5" s="60">
        <v>11410</v>
      </c>
      <c r="E5" s="60">
        <v>2.8769487375640241</v>
      </c>
      <c r="F5" s="60">
        <v>2.1041341542702074</v>
      </c>
      <c r="G5" s="60">
        <v>9.3422454428561217</v>
      </c>
    </row>
    <row r="6" spans="1:7">
      <c r="A6" s="60" t="s">
        <v>151</v>
      </c>
      <c r="B6" s="60">
        <v>71.95</v>
      </c>
      <c r="C6" s="60">
        <v>60.18</v>
      </c>
      <c r="D6" s="60">
        <v>28780</v>
      </c>
      <c r="E6" s="60">
        <v>4.2759714333333765</v>
      </c>
      <c r="F6" s="60">
        <v>4.0973400712018995</v>
      </c>
      <c r="G6" s="60">
        <v>10.267435980441359</v>
      </c>
    </row>
    <row r="7" spans="1:7">
      <c r="A7" s="60" t="s">
        <v>152</v>
      </c>
      <c r="B7" s="60">
        <v>79.28</v>
      </c>
      <c r="C7" s="60">
        <v>31.81</v>
      </c>
      <c r="D7" s="60">
        <v>28920</v>
      </c>
      <c r="E7" s="60">
        <v>4.3729858900217327</v>
      </c>
      <c r="F7" s="60">
        <v>3.4597807057610526</v>
      </c>
      <c r="G7" s="60">
        <v>10.272288676272701</v>
      </c>
    </row>
    <row r="8" spans="1:7">
      <c r="A8" s="60" t="s">
        <v>153</v>
      </c>
      <c r="B8" s="60">
        <v>26.36</v>
      </c>
      <c r="C8" s="60">
        <v>7.48</v>
      </c>
      <c r="D8" s="60">
        <v>7510</v>
      </c>
      <c r="E8" s="60">
        <v>3.2718477096343066</v>
      </c>
      <c r="F8" s="60">
        <v>2.0122327919863858</v>
      </c>
      <c r="G8" s="60">
        <v>8.9239907447581803</v>
      </c>
    </row>
    <row r="9" spans="1:7">
      <c r="A9" s="60" t="s">
        <v>154</v>
      </c>
      <c r="B9" s="60">
        <v>46.64</v>
      </c>
      <c r="C9" s="60">
        <v>5.19</v>
      </c>
      <c r="D9" s="60">
        <v>75.400000000000006</v>
      </c>
      <c r="E9" s="60">
        <v>3.842458542042237</v>
      </c>
      <c r="F9" s="60">
        <v>1.6467336971777973</v>
      </c>
      <c r="G9" s="60">
        <v>4.3228072750139104</v>
      </c>
    </row>
    <row r="10" spans="1:7">
      <c r="A10" s="60" t="s">
        <v>65</v>
      </c>
      <c r="B10" s="60">
        <v>41.9</v>
      </c>
      <c r="C10" s="60">
        <v>48.7</v>
      </c>
      <c r="D10" s="60">
        <v>30040</v>
      </c>
      <c r="E10" s="60">
        <v>3.735285826928092</v>
      </c>
      <c r="F10" s="60">
        <v>3.8856790300885442</v>
      </c>
      <c r="G10" s="60">
        <v>10.310285105878071</v>
      </c>
    </row>
    <row r="11" spans="1:7">
      <c r="A11" s="60" t="s">
        <v>155</v>
      </c>
      <c r="B11" s="60">
        <v>21.48</v>
      </c>
      <c r="C11" s="60">
        <v>2.76</v>
      </c>
      <c r="D11" s="60">
        <v>4980</v>
      </c>
      <c r="E11" s="60">
        <v>3.0671222696406639</v>
      </c>
      <c r="F11" s="60">
        <v>1.0152306797290584</v>
      </c>
      <c r="G11" s="60">
        <v>8.5131851700186978</v>
      </c>
    </row>
    <row r="12" spans="1:7">
      <c r="A12" s="60" t="s">
        <v>156</v>
      </c>
      <c r="B12" s="60">
        <v>14.13</v>
      </c>
      <c r="C12" s="60">
        <v>4.93</v>
      </c>
      <c r="D12" s="60">
        <v>6410</v>
      </c>
      <c r="E12" s="60">
        <v>2.6483001966964363</v>
      </c>
      <c r="F12" s="60">
        <v>1.5953389880545987</v>
      </c>
      <c r="G12" s="60">
        <v>8.7656145499147158</v>
      </c>
    </row>
    <row r="13" spans="1:7">
      <c r="A13" s="60" t="s">
        <v>157</v>
      </c>
      <c r="B13" s="60">
        <v>96.46</v>
      </c>
      <c r="C13" s="60">
        <v>17.739999999999998</v>
      </c>
      <c r="D13" s="60">
        <v>15600</v>
      </c>
      <c r="E13" s="60">
        <v>4.5691284146408258</v>
      </c>
      <c r="F13" s="60">
        <v>2.8758219768814333</v>
      </c>
      <c r="G13" s="60">
        <v>9.655026193237628</v>
      </c>
    </row>
    <row r="14" spans="1:7">
      <c r="A14" s="60" t="s">
        <v>158</v>
      </c>
      <c r="B14" s="60">
        <v>18.920000000000002</v>
      </c>
      <c r="C14" s="60">
        <v>3.24</v>
      </c>
      <c r="D14" s="60">
        <v>3940</v>
      </c>
      <c r="E14" s="60">
        <v>2.9402195636237325</v>
      </c>
      <c r="F14" s="60">
        <v>1.1755733298042381</v>
      </c>
      <c r="G14" s="60">
        <v>8.2789360022919798</v>
      </c>
    </row>
    <row r="15" spans="1:7">
      <c r="A15" s="60" t="s">
        <v>159</v>
      </c>
      <c r="B15" s="60">
        <v>8.4499999999999993</v>
      </c>
      <c r="C15" s="60">
        <v>2.91</v>
      </c>
      <c r="D15" s="60">
        <v>3940</v>
      </c>
      <c r="E15" s="60">
        <v>2.1341664413690822</v>
      </c>
      <c r="F15" s="60">
        <v>1.0681530811834012</v>
      </c>
      <c r="G15" s="60">
        <v>8.2789360022919798</v>
      </c>
    </row>
    <row r="16" spans="1:7">
      <c r="A16" s="60" t="s">
        <v>67</v>
      </c>
      <c r="B16" s="60">
        <v>69.59</v>
      </c>
      <c r="C16" s="60">
        <v>34.71</v>
      </c>
      <c r="D16" s="60">
        <v>27640</v>
      </c>
      <c r="E16" s="60">
        <v>4.2426208788567585</v>
      </c>
      <c r="F16" s="60">
        <v>3.547027829873695</v>
      </c>
      <c r="G16" s="60">
        <v>10.227019277881606</v>
      </c>
    </row>
    <row r="17" spans="1:7">
      <c r="A17" s="60" t="s">
        <v>68</v>
      </c>
      <c r="B17" s="60">
        <v>78.52</v>
      </c>
      <c r="C17" s="60">
        <v>48.47</v>
      </c>
      <c r="D17" s="60">
        <v>27610</v>
      </c>
      <c r="E17" s="60">
        <v>4.3633533694082605</v>
      </c>
      <c r="F17" s="60">
        <v>3.8809450498572846</v>
      </c>
      <c r="G17" s="60">
        <v>10.225933304924201</v>
      </c>
    </row>
    <row r="18" spans="1:7">
      <c r="A18" s="60" t="s">
        <v>160</v>
      </c>
      <c r="B18" s="60">
        <v>90.23</v>
      </c>
      <c r="C18" s="60">
        <v>8.17</v>
      </c>
      <c r="D18" s="60">
        <v>19900</v>
      </c>
      <c r="E18" s="60">
        <v>4.5023619660064096</v>
      </c>
      <c r="F18" s="60">
        <v>2.1004689088719113</v>
      </c>
      <c r="G18" s="60">
        <v>9.8984750107125841</v>
      </c>
    </row>
    <row r="19" spans="1:7">
      <c r="A19" s="60" t="s">
        <v>161</v>
      </c>
      <c r="B19" s="60">
        <v>13.15</v>
      </c>
      <c r="C19" s="60">
        <v>1.44</v>
      </c>
      <c r="D19" s="60">
        <v>4090</v>
      </c>
      <c r="E19" s="60">
        <v>2.5764217586237734</v>
      </c>
      <c r="F19" s="60">
        <v>0.36464311358790924</v>
      </c>
      <c r="G19" s="60">
        <v>8.3163002490368481</v>
      </c>
    </row>
    <row r="20" spans="1:7">
      <c r="A20" s="60" t="s">
        <v>162</v>
      </c>
      <c r="B20" s="60">
        <v>76.88</v>
      </c>
      <c r="C20" s="60">
        <v>10.84</v>
      </c>
      <c r="D20" s="60">
        <v>13840</v>
      </c>
      <c r="E20" s="60">
        <v>4.3422457646620369</v>
      </c>
      <c r="F20" s="60">
        <v>2.3832429960115</v>
      </c>
      <c r="G20" s="60">
        <v>9.5353182291716614</v>
      </c>
    </row>
    <row r="21" spans="1:7">
      <c r="A21" s="60" t="s">
        <v>163</v>
      </c>
      <c r="B21" s="60">
        <v>2.4700000000000002</v>
      </c>
      <c r="C21" s="60">
        <v>0.72</v>
      </c>
      <c r="D21" s="60">
        <v>2880</v>
      </c>
      <c r="E21" s="60">
        <v>0.90421815063988586</v>
      </c>
      <c r="F21" s="60">
        <v>-0.3285040669720361</v>
      </c>
      <c r="G21" s="60">
        <v>7.965545573129992</v>
      </c>
    </row>
    <row r="22" spans="1:7">
      <c r="A22" s="60" t="s">
        <v>164</v>
      </c>
      <c r="B22" s="60">
        <v>8.74</v>
      </c>
      <c r="C22" s="60">
        <v>1.19</v>
      </c>
      <c r="D22" s="60">
        <v>3210</v>
      </c>
      <c r="E22" s="60">
        <v>2.167910189667444</v>
      </c>
      <c r="F22" s="60">
        <v>0.17395330712343798</v>
      </c>
      <c r="G22" s="60">
        <v>8.0740262161240608</v>
      </c>
    </row>
    <row r="23" spans="1:7">
      <c r="A23" s="60" t="s">
        <v>69</v>
      </c>
      <c r="B23" s="60">
        <v>101.76</v>
      </c>
      <c r="C23" s="60">
        <v>23.07</v>
      </c>
      <c r="D23" s="61">
        <v>26830</v>
      </c>
      <c r="E23" s="60">
        <v>4.6226170995918121</v>
      </c>
      <c r="F23" s="60">
        <v>3.1385330721856621</v>
      </c>
      <c r="G23" s="60">
        <v>10.197275943419671</v>
      </c>
    </row>
    <row r="24" spans="1:7">
      <c r="A24" s="60" t="s">
        <v>66</v>
      </c>
      <c r="B24" s="60">
        <v>67.900000000000006</v>
      </c>
      <c r="C24" s="60">
        <v>38.22</v>
      </c>
      <c r="D24" s="60">
        <v>28450</v>
      </c>
      <c r="E24" s="60">
        <v>4.2180360345646504</v>
      </c>
      <c r="F24" s="60">
        <v>3.6433589388121268</v>
      </c>
      <c r="G24" s="60">
        <v>10.255903439554476</v>
      </c>
    </row>
    <row r="25" spans="1:7">
      <c r="A25" s="60" t="s">
        <v>165</v>
      </c>
      <c r="B25" s="60">
        <v>29.47</v>
      </c>
      <c r="C25" s="60">
        <v>8.3000000000000007</v>
      </c>
      <c r="D25" s="60">
        <v>8980</v>
      </c>
      <c r="E25" s="60">
        <v>3.3833727967496032</v>
      </c>
      <c r="F25" s="60">
        <v>2.1162555148025524</v>
      </c>
      <c r="G25" s="60">
        <v>9.1027551612962458</v>
      </c>
    </row>
    <row r="26" spans="1:7">
      <c r="A26" s="60" t="s">
        <v>166</v>
      </c>
      <c r="B26" s="60">
        <v>76.760000000000005</v>
      </c>
      <c r="C26" s="60">
        <v>46.66</v>
      </c>
      <c r="D26" s="60">
        <v>28560</v>
      </c>
      <c r="E26" s="60">
        <v>4.3406836711394989</v>
      </c>
      <c r="F26" s="60">
        <v>3.8428872665932841</v>
      </c>
      <c r="G26" s="60">
        <v>10.259762416453521</v>
      </c>
    </row>
    <row r="27" spans="1:7">
      <c r="A27" s="60" t="s">
        <v>167</v>
      </c>
      <c r="B27" s="60">
        <v>1.75</v>
      </c>
      <c r="C27" s="60">
        <v>0.42</v>
      </c>
      <c r="D27" s="60">
        <v>2040</v>
      </c>
      <c r="E27" s="60">
        <v>0.55961578793542266</v>
      </c>
      <c r="F27" s="60">
        <v>-0.86750056770472306</v>
      </c>
      <c r="G27" s="60">
        <v>7.620705086838262</v>
      </c>
    </row>
    <row r="28" spans="1:7">
      <c r="A28" s="60" t="s">
        <v>168</v>
      </c>
      <c r="B28" s="60">
        <v>45.09</v>
      </c>
      <c r="C28" s="60">
        <v>14.2</v>
      </c>
      <c r="D28" s="60">
        <v>11210</v>
      </c>
      <c r="E28" s="60">
        <v>3.8086604924329928</v>
      </c>
      <c r="F28" s="60">
        <v>2.653241964607215</v>
      </c>
      <c r="G28" s="60">
        <v>9.3245615160662059</v>
      </c>
    </row>
    <row r="29" spans="1:7">
      <c r="A29" s="60" t="s">
        <v>169</v>
      </c>
      <c r="B29" s="60">
        <v>24.93</v>
      </c>
      <c r="C29" s="60">
        <v>8.8699999999999992</v>
      </c>
      <c r="D29" s="60">
        <v>8950</v>
      </c>
      <c r="E29" s="60">
        <v>3.2160718975354663</v>
      </c>
      <c r="F29" s="60">
        <v>2.1826747963214879</v>
      </c>
      <c r="G29" s="60">
        <v>9.0994088112689013</v>
      </c>
    </row>
    <row r="30" spans="1:7">
      <c r="A30" s="60" t="s">
        <v>170</v>
      </c>
      <c r="B30" s="60">
        <v>32.11</v>
      </c>
      <c r="C30" s="60">
        <v>13.67</v>
      </c>
      <c r="D30" s="60">
        <v>13230</v>
      </c>
      <c r="E30" s="60">
        <v>3.4691675081014224</v>
      </c>
      <c r="F30" s="60">
        <v>2.6152036507358583</v>
      </c>
      <c r="G30" s="60">
        <v>9.490242257109001</v>
      </c>
    </row>
    <row r="31" spans="1:7">
      <c r="A31" s="60" t="s">
        <v>171</v>
      </c>
      <c r="B31" s="60">
        <v>36.36</v>
      </c>
      <c r="C31" s="60">
        <v>7.26</v>
      </c>
      <c r="D31" s="60">
        <v>10130</v>
      </c>
      <c r="E31" s="60">
        <v>3.5934692693092782</v>
      </c>
      <c r="F31" s="60">
        <v>1.9823798288367047</v>
      </c>
      <c r="G31" s="60">
        <v>9.2232565972427292</v>
      </c>
    </row>
    <row r="32" spans="1:7">
      <c r="A32" s="60" t="s">
        <v>172</v>
      </c>
      <c r="B32" s="60">
        <v>91.61</v>
      </c>
      <c r="C32" s="60">
        <v>19.600000000000001</v>
      </c>
      <c r="D32" s="60">
        <v>22150</v>
      </c>
      <c r="E32" s="60">
        <v>4.517540436027117</v>
      </c>
      <c r="F32" s="60">
        <v>2.9755295662364718</v>
      </c>
      <c r="G32" s="60">
        <v>10.005592775473282</v>
      </c>
    </row>
    <row r="33" spans="1:7">
      <c r="A33" s="60" t="s">
        <v>173</v>
      </c>
      <c r="B33" s="60">
        <v>98.05</v>
      </c>
      <c r="C33" s="60">
        <v>62.13</v>
      </c>
      <c r="D33" s="60">
        <v>26710</v>
      </c>
      <c r="E33" s="60">
        <v>4.585477552642355</v>
      </c>
      <c r="F33" s="60">
        <v>4.1292289640756028</v>
      </c>
      <c r="G33" s="60">
        <v>10.192793306104006</v>
      </c>
    </row>
    <row r="34" spans="1:7">
      <c r="A34" s="60" t="s">
        <v>174</v>
      </c>
      <c r="B34" s="60">
        <v>84.34</v>
      </c>
      <c r="C34" s="60">
        <v>70.87</v>
      </c>
      <c r="D34" s="60">
        <v>32220</v>
      </c>
      <c r="E34" s="60">
        <v>4.4348562483184137</v>
      </c>
      <c r="F34" s="60">
        <v>4.2608472128221644</v>
      </c>
      <c r="G34" s="60">
        <v>10.380342656730965</v>
      </c>
    </row>
    <row r="35" spans="1:7">
      <c r="A35" s="60" t="s">
        <v>175</v>
      </c>
      <c r="B35" s="60">
        <v>39.42</v>
      </c>
      <c r="C35" s="60">
        <v>3.98</v>
      </c>
      <c r="D35" s="60">
        <v>7450</v>
      </c>
      <c r="E35" s="60">
        <v>3.6742733017245741</v>
      </c>
      <c r="F35" s="60">
        <v>1.3812818192963463</v>
      </c>
      <c r="G35" s="60">
        <v>8.9159693113736047</v>
      </c>
    </row>
    <row r="36" spans="1:7">
      <c r="A36" s="60" t="s">
        <v>70</v>
      </c>
      <c r="B36" s="60">
        <v>91.17</v>
      </c>
      <c r="C36" s="60">
        <v>40.57</v>
      </c>
      <c r="D36" s="60">
        <v>27690</v>
      </c>
      <c r="E36" s="60">
        <v>4.5127258955968115</v>
      </c>
      <c r="F36" s="60">
        <v>3.7030288772183559</v>
      </c>
      <c r="G36" s="60">
        <v>10.228826616165007</v>
      </c>
    </row>
    <row r="37" spans="1:7">
      <c r="A37" s="60" t="s">
        <v>64</v>
      </c>
      <c r="B37" s="60">
        <v>54.58</v>
      </c>
      <c r="C37" s="60">
        <v>65.98</v>
      </c>
      <c r="D37" s="60">
        <v>37750</v>
      </c>
      <c r="E37" s="60">
        <v>3.9996675152801924</v>
      </c>
      <c r="F37" s="60">
        <v>4.1893516658004355</v>
      </c>
      <c r="G37" s="60">
        <v>10.538740754677171</v>
      </c>
    </row>
    <row r="38" spans="1:7">
      <c r="A38" s="60" t="s">
        <v>176</v>
      </c>
      <c r="B38" s="60">
        <v>27.3</v>
      </c>
      <c r="C38" s="60">
        <v>6.09</v>
      </c>
      <c r="D38" s="60">
        <v>4750</v>
      </c>
      <c r="E38" s="60">
        <v>3.3068867021909143</v>
      </c>
      <c r="F38" s="60">
        <v>1.8066480817218056</v>
      </c>
      <c r="G38" s="60">
        <v>8.4658998970286863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0BB6-C0D1-44E2-B660-E41A7AC4DA19}">
  <dimension ref="A1:B15"/>
  <sheetViews>
    <sheetView workbookViewId="0">
      <selection sqref="A1:B15"/>
    </sheetView>
  </sheetViews>
  <sheetFormatPr defaultRowHeight="15"/>
  <sheetData>
    <row r="1" spans="1:2">
      <c r="A1" s="58" t="s">
        <v>177</v>
      </c>
      <c r="B1" s="58"/>
    </row>
    <row r="3" spans="1:2">
      <c r="A3" s="58" t="s">
        <v>178</v>
      </c>
      <c r="B3" s="58"/>
    </row>
    <row r="4" spans="1:2">
      <c r="A4" s="58" t="s">
        <v>179</v>
      </c>
      <c r="B4" s="58"/>
    </row>
    <row r="5" spans="1:2">
      <c r="A5" s="59" t="s">
        <v>180</v>
      </c>
      <c r="B5" t="s">
        <v>181</v>
      </c>
    </row>
    <row r="6" spans="1:2">
      <c r="A6" s="58">
        <v>1</v>
      </c>
      <c r="B6" s="58">
        <v>3</v>
      </c>
    </row>
    <row r="7" spans="1:2">
      <c r="A7" s="58">
        <v>3</v>
      </c>
      <c r="B7" s="58">
        <v>2</v>
      </c>
    </row>
    <row r="8" spans="1:2">
      <c r="A8" s="58">
        <v>7</v>
      </c>
      <c r="B8" s="58">
        <v>8</v>
      </c>
    </row>
    <row r="9" spans="1:2">
      <c r="A9" s="58">
        <v>10</v>
      </c>
      <c r="B9" s="58">
        <v>7</v>
      </c>
    </row>
    <row r="10" spans="1:2">
      <c r="A10" s="58">
        <v>9</v>
      </c>
      <c r="B10" s="58">
        <v>9</v>
      </c>
    </row>
    <row r="11" spans="1:2">
      <c r="A11" s="58">
        <v>5</v>
      </c>
      <c r="B11" s="58">
        <v>6</v>
      </c>
    </row>
    <row r="12" spans="1:2">
      <c r="A12" s="58">
        <v>4</v>
      </c>
      <c r="B12" s="58">
        <v>5</v>
      </c>
    </row>
    <row r="13" spans="1:2">
      <c r="A13" s="58">
        <v>8</v>
      </c>
      <c r="B13" s="58">
        <v>10</v>
      </c>
    </row>
    <row r="14" spans="1:2">
      <c r="A14" s="58">
        <v>2</v>
      </c>
      <c r="B14" s="58">
        <v>1</v>
      </c>
    </row>
    <row r="15" spans="1:2">
      <c r="A15" s="58">
        <v>6</v>
      </c>
      <c r="B15" s="58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082E-BABB-4BDC-B8CA-1BA4E3217E0E}">
  <dimension ref="A1:E102"/>
  <sheetViews>
    <sheetView workbookViewId="0">
      <selection activeCell="D5" sqref="D5:E50"/>
    </sheetView>
  </sheetViews>
  <sheetFormatPr defaultRowHeight="15"/>
  <sheetData>
    <row r="1" spans="1:5" ht="22.5">
      <c r="A1" s="56" t="s">
        <v>182</v>
      </c>
      <c r="B1" s="55"/>
      <c r="C1" s="55"/>
      <c r="D1" s="55"/>
      <c r="E1" s="55"/>
    </row>
    <row r="2" spans="1:5">
      <c r="A2" s="56" t="s">
        <v>183</v>
      </c>
      <c r="B2" s="55"/>
      <c r="C2" s="55"/>
      <c r="D2" s="55"/>
      <c r="E2" s="55"/>
    </row>
    <row r="3" spans="1:5" ht="22.5">
      <c r="A3" s="54" t="s">
        <v>184</v>
      </c>
      <c r="B3" s="53" t="s">
        <v>185</v>
      </c>
      <c r="C3" s="52"/>
      <c r="D3" s="51" t="s">
        <v>186</v>
      </c>
      <c r="E3" s="52"/>
    </row>
    <row r="4" spans="1:5" ht="33.75">
      <c r="A4" s="50"/>
      <c r="B4" s="49" t="s">
        <v>187</v>
      </c>
      <c r="C4" s="49" t="s">
        <v>188</v>
      </c>
      <c r="D4" s="49" t="s">
        <v>187</v>
      </c>
      <c r="E4" s="49" t="s">
        <v>188</v>
      </c>
    </row>
    <row r="5" spans="1:5">
      <c r="A5" s="47">
        <v>1960</v>
      </c>
      <c r="B5" s="46">
        <v>48.9</v>
      </c>
      <c r="C5" s="46">
        <v>51.9</v>
      </c>
      <c r="D5" s="46">
        <v>60.8</v>
      </c>
      <c r="E5" s="46">
        <v>63.3</v>
      </c>
    </row>
    <row r="6" spans="1:5">
      <c r="A6" s="47">
        <v>1961</v>
      </c>
      <c r="B6" s="46">
        <v>50.6</v>
      </c>
      <c r="C6" s="46">
        <v>53.5</v>
      </c>
      <c r="D6" s="46">
        <v>62.5</v>
      </c>
      <c r="E6" s="46">
        <v>64.8</v>
      </c>
    </row>
    <row r="7" spans="1:5">
      <c r="A7" s="47">
        <v>1962</v>
      </c>
      <c r="B7" s="46">
        <v>52.9</v>
      </c>
      <c r="C7" s="46">
        <v>55.9</v>
      </c>
      <c r="D7" s="46">
        <v>64.599999999999994</v>
      </c>
      <c r="E7" s="46">
        <v>66.7</v>
      </c>
    </row>
    <row r="8" spans="1:5">
      <c r="A8" s="47">
        <v>1963</v>
      </c>
      <c r="B8" s="46">
        <v>55</v>
      </c>
      <c r="C8" s="46">
        <v>57.8</v>
      </c>
      <c r="D8" s="46">
        <v>66.099999999999994</v>
      </c>
      <c r="E8" s="46">
        <v>68.099999999999994</v>
      </c>
    </row>
    <row r="9" spans="1:5">
      <c r="A9" s="47">
        <v>1964</v>
      </c>
      <c r="B9" s="46">
        <v>56.8</v>
      </c>
      <c r="C9" s="46">
        <v>59.6</v>
      </c>
      <c r="D9" s="46">
        <v>67.7</v>
      </c>
      <c r="E9" s="46">
        <v>69.3</v>
      </c>
    </row>
    <row r="10" spans="1:5">
      <c r="A10" s="47">
        <v>1965</v>
      </c>
      <c r="B10" s="46">
        <v>58.8</v>
      </c>
      <c r="C10" s="46">
        <v>61.4</v>
      </c>
      <c r="D10" s="46">
        <v>69.099999999999994</v>
      </c>
      <c r="E10" s="46">
        <v>70.5</v>
      </c>
    </row>
    <row r="11" spans="1:5">
      <c r="A11" s="47">
        <v>1966</v>
      </c>
      <c r="B11" s="46">
        <v>61.2</v>
      </c>
      <c r="C11" s="46">
        <v>63.6</v>
      </c>
      <c r="D11" s="46">
        <v>71.7</v>
      </c>
      <c r="E11" s="46">
        <v>72.599999999999994</v>
      </c>
    </row>
    <row r="12" spans="1:5">
      <c r="A12" s="47">
        <v>1967</v>
      </c>
      <c r="B12" s="46">
        <v>62.5</v>
      </c>
      <c r="C12" s="46">
        <v>64.7</v>
      </c>
      <c r="D12" s="46">
        <v>73.5</v>
      </c>
      <c r="E12" s="46">
        <v>74.5</v>
      </c>
    </row>
    <row r="13" spans="1:5">
      <c r="A13" s="47">
        <v>1968</v>
      </c>
      <c r="B13" s="46">
        <v>64.7</v>
      </c>
      <c r="C13" s="46">
        <v>66.900000000000006</v>
      </c>
      <c r="D13" s="46">
        <v>76.2</v>
      </c>
      <c r="E13" s="46">
        <v>77.099999999999994</v>
      </c>
    </row>
    <row r="14" spans="1:5">
      <c r="A14" s="47">
        <v>1969</v>
      </c>
      <c r="B14" s="46">
        <v>65</v>
      </c>
      <c r="C14" s="46">
        <v>67</v>
      </c>
      <c r="D14" s="46">
        <v>77.3</v>
      </c>
      <c r="E14" s="46">
        <v>78.099999999999994</v>
      </c>
    </row>
    <row r="15" spans="1:5">
      <c r="A15" s="47">
        <v>1970</v>
      </c>
      <c r="B15" s="46">
        <v>66.3</v>
      </c>
      <c r="C15" s="46">
        <v>68</v>
      </c>
      <c r="D15" s="46">
        <v>78.8</v>
      </c>
      <c r="E15" s="46">
        <v>79.2</v>
      </c>
    </row>
    <row r="16" spans="1:5">
      <c r="A16" s="47">
        <v>1971</v>
      </c>
      <c r="B16" s="46">
        <v>69</v>
      </c>
      <c r="C16" s="46">
        <v>70.7</v>
      </c>
      <c r="D16" s="46">
        <v>80.2</v>
      </c>
      <c r="E16" s="46">
        <v>80.7</v>
      </c>
    </row>
    <row r="17" spans="1:5">
      <c r="A17" s="47">
        <v>1972</v>
      </c>
      <c r="B17" s="46">
        <v>71.2</v>
      </c>
      <c r="C17" s="46">
        <v>73.099999999999994</v>
      </c>
      <c r="D17" s="46">
        <v>82.6</v>
      </c>
      <c r="E17" s="46">
        <v>83.2</v>
      </c>
    </row>
    <row r="18" spans="1:5">
      <c r="A18" s="47">
        <v>1973</v>
      </c>
      <c r="B18" s="46">
        <v>73.400000000000006</v>
      </c>
      <c r="C18" s="46">
        <v>75.3</v>
      </c>
      <c r="D18" s="46">
        <v>84.3</v>
      </c>
      <c r="E18" s="46">
        <v>84.7</v>
      </c>
    </row>
    <row r="19" spans="1:5">
      <c r="A19" s="47">
        <v>1974</v>
      </c>
      <c r="B19" s="46">
        <v>72.3</v>
      </c>
      <c r="C19" s="46">
        <v>74.2</v>
      </c>
      <c r="D19" s="46">
        <v>83.3</v>
      </c>
      <c r="E19" s="46">
        <v>83.8</v>
      </c>
    </row>
    <row r="20" spans="1:5">
      <c r="A20" s="47">
        <v>1975</v>
      </c>
      <c r="B20" s="46">
        <v>74.8</v>
      </c>
      <c r="C20" s="46">
        <v>76.2</v>
      </c>
      <c r="D20" s="46">
        <v>84.1</v>
      </c>
      <c r="E20" s="46">
        <v>84.5</v>
      </c>
    </row>
    <row r="21" spans="1:5">
      <c r="A21" s="47">
        <v>1976</v>
      </c>
      <c r="B21" s="46">
        <v>77.099999999999994</v>
      </c>
      <c r="C21" s="46">
        <v>78.7</v>
      </c>
      <c r="D21" s="46">
        <v>86.4</v>
      </c>
      <c r="E21" s="46">
        <v>86.6</v>
      </c>
    </row>
    <row r="22" spans="1:5">
      <c r="A22" s="47">
        <v>1977</v>
      </c>
      <c r="B22" s="46">
        <v>78.5</v>
      </c>
      <c r="C22" s="46">
        <v>80</v>
      </c>
      <c r="D22" s="46">
        <v>87.6</v>
      </c>
      <c r="E22" s="46">
        <v>88</v>
      </c>
    </row>
    <row r="23" spans="1:5">
      <c r="A23" s="47">
        <v>1978</v>
      </c>
      <c r="B23" s="46">
        <v>79.3</v>
      </c>
      <c r="C23" s="46">
        <v>81</v>
      </c>
      <c r="D23" s="46">
        <v>89.1</v>
      </c>
      <c r="E23" s="46">
        <v>89.6</v>
      </c>
    </row>
    <row r="24" spans="1:5">
      <c r="A24" s="47">
        <v>1979</v>
      </c>
      <c r="B24" s="46">
        <v>79.3</v>
      </c>
      <c r="C24" s="46">
        <v>80.7</v>
      </c>
      <c r="D24" s="46">
        <v>89.3</v>
      </c>
      <c r="E24" s="46">
        <v>89.7</v>
      </c>
    </row>
    <row r="25" spans="1:5">
      <c r="A25" s="47">
        <v>1980</v>
      </c>
      <c r="B25" s="46">
        <v>79.2</v>
      </c>
      <c r="C25" s="46">
        <v>80.599999999999994</v>
      </c>
      <c r="D25" s="46">
        <v>89.1</v>
      </c>
      <c r="E25" s="46">
        <v>89.5</v>
      </c>
    </row>
    <row r="26" spans="1:5">
      <c r="A26" s="47">
        <v>1981</v>
      </c>
      <c r="B26" s="46">
        <v>80.8</v>
      </c>
      <c r="C26" s="46">
        <v>81.7</v>
      </c>
      <c r="D26" s="46">
        <v>89.3</v>
      </c>
      <c r="E26" s="46">
        <v>89.8</v>
      </c>
    </row>
    <row r="27" spans="1:5">
      <c r="A27" s="47">
        <v>1982</v>
      </c>
      <c r="B27" s="46">
        <v>80.099999999999994</v>
      </c>
      <c r="C27" s="46">
        <v>80.8</v>
      </c>
      <c r="D27" s="46">
        <v>90.4</v>
      </c>
      <c r="E27" s="46">
        <v>90.8</v>
      </c>
    </row>
    <row r="28" spans="1:5">
      <c r="A28" s="47">
        <v>1983</v>
      </c>
      <c r="B28" s="46">
        <v>83</v>
      </c>
      <c r="C28" s="46">
        <v>84.5</v>
      </c>
      <c r="D28" s="46">
        <v>90.3</v>
      </c>
      <c r="E28" s="46">
        <v>90.9</v>
      </c>
    </row>
    <row r="29" spans="1:5">
      <c r="A29" s="47">
        <v>1984</v>
      </c>
      <c r="B29" s="46">
        <v>85.2</v>
      </c>
      <c r="C29" s="46">
        <v>86.1</v>
      </c>
      <c r="D29" s="46">
        <v>90.7</v>
      </c>
      <c r="E29" s="46">
        <v>91.1</v>
      </c>
    </row>
    <row r="30" spans="1:5">
      <c r="A30" s="47">
        <v>1985</v>
      </c>
      <c r="B30" s="46">
        <v>87.1</v>
      </c>
      <c r="C30" s="46">
        <v>87.5</v>
      </c>
      <c r="D30" s="46">
        <v>92</v>
      </c>
      <c r="E30" s="46">
        <v>92.2</v>
      </c>
    </row>
    <row r="31" spans="1:5">
      <c r="A31" s="47">
        <v>1986</v>
      </c>
      <c r="B31" s="46">
        <v>89.7</v>
      </c>
      <c r="C31" s="46">
        <v>90.2</v>
      </c>
      <c r="D31" s="46">
        <v>94.9</v>
      </c>
      <c r="E31" s="46">
        <v>95.2</v>
      </c>
    </row>
    <row r="32" spans="1:5">
      <c r="A32" s="47">
        <v>1987</v>
      </c>
      <c r="B32" s="46">
        <v>90.1</v>
      </c>
      <c r="C32" s="46">
        <v>90.6</v>
      </c>
      <c r="D32" s="46">
        <v>95.2</v>
      </c>
      <c r="E32" s="46">
        <v>95.5</v>
      </c>
    </row>
    <row r="33" spans="1:5">
      <c r="A33" s="47">
        <v>1988</v>
      </c>
      <c r="B33" s="46">
        <v>91.5</v>
      </c>
      <c r="C33" s="46">
        <v>92.1</v>
      </c>
      <c r="D33" s="46">
        <v>96.5</v>
      </c>
      <c r="E33" s="46">
        <v>96.7</v>
      </c>
    </row>
    <row r="34" spans="1:5">
      <c r="A34" s="47">
        <v>1989</v>
      </c>
      <c r="B34" s="46">
        <v>92.4</v>
      </c>
      <c r="C34" s="46">
        <v>92.8</v>
      </c>
      <c r="D34" s="46">
        <v>95</v>
      </c>
      <c r="E34" s="46">
        <v>95.1</v>
      </c>
    </row>
    <row r="35" spans="1:5">
      <c r="A35" s="47">
        <v>1990</v>
      </c>
      <c r="B35" s="46">
        <v>94.4</v>
      </c>
      <c r="C35" s="46">
        <v>94.5</v>
      </c>
      <c r="D35" s="46">
        <v>96.2</v>
      </c>
      <c r="E35" s="46">
        <v>96.1</v>
      </c>
    </row>
    <row r="36" spans="1:5">
      <c r="A36" s="47">
        <v>1991</v>
      </c>
      <c r="B36" s="46">
        <v>95.9</v>
      </c>
      <c r="C36" s="46">
        <v>96.1</v>
      </c>
      <c r="D36" s="46">
        <v>97.4</v>
      </c>
      <c r="E36" s="46">
        <v>97.4</v>
      </c>
    </row>
    <row r="37" spans="1:5">
      <c r="A37" s="47">
        <v>1992</v>
      </c>
      <c r="B37" s="46">
        <v>100</v>
      </c>
      <c r="C37" s="46">
        <v>100</v>
      </c>
      <c r="D37" s="46">
        <v>100</v>
      </c>
      <c r="E37" s="46">
        <v>100</v>
      </c>
    </row>
    <row r="38" spans="1:5">
      <c r="A38" s="47">
        <v>1993</v>
      </c>
      <c r="B38" s="46">
        <v>100.4</v>
      </c>
      <c r="C38" s="46">
        <v>100.4</v>
      </c>
      <c r="D38" s="46">
        <v>99.7</v>
      </c>
      <c r="E38" s="46">
        <v>99.5</v>
      </c>
    </row>
    <row r="39" spans="1:5">
      <c r="A39" s="47">
        <v>1994</v>
      </c>
      <c r="B39" s="46">
        <v>101.3</v>
      </c>
      <c r="C39" s="46">
        <v>101.5</v>
      </c>
      <c r="D39" s="46">
        <v>99</v>
      </c>
      <c r="E39" s="46">
        <v>99.1</v>
      </c>
    </row>
    <row r="40" spans="1:5">
      <c r="A40" s="47">
        <v>1995</v>
      </c>
      <c r="B40" s="46">
        <v>101.5</v>
      </c>
      <c r="C40" s="46">
        <v>102</v>
      </c>
      <c r="D40" s="46">
        <v>98.7</v>
      </c>
      <c r="E40" s="46">
        <v>98.8</v>
      </c>
    </row>
    <row r="41" spans="1:5">
      <c r="A41" s="47">
        <v>1996</v>
      </c>
      <c r="B41" s="46">
        <v>104.5</v>
      </c>
      <c r="C41" s="46">
        <v>104.7</v>
      </c>
      <c r="D41" s="46">
        <v>99.4</v>
      </c>
      <c r="E41" s="46">
        <v>99.4</v>
      </c>
    </row>
    <row r="42" spans="1:5">
      <c r="A42" s="47">
        <v>1997</v>
      </c>
      <c r="B42" s="46">
        <v>106.5</v>
      </c>
      <c r="C42" s="46">
        <v>106.4</v>
      </c>
      <c r="D42" s="46">
        <v>100.5</v>
      </c>
      <c r="E42" s="46">
        <v>100.3</v>
      </c>
    </row>
    <row r="43" spans="1:5">
      <c r="A43" s="47">
        <v>1998</v>
      </c>
      <c r="B43" s="46">
        <v>109.5</v>
      </c>
      <c r="C43" s="46">
        <v>109.4</v>
      </c>
      <c r="D43" s="46">
        <v>105.2</v>
      </c>
      <c r="E43" s="46">
        <v>104.9</v>
      </c>
    </row>
    <row r="44" spans="1:5">
      <c r="A44" s="47">
        <v>1999</v>
      </c>
      <c r="B44" s="46">
        <v>112.8</v>
      </c>
      <c r="C44" s="46">
        <v>112.5</v>
      </c>
      <c r="D44" s="46">
        <v>108</v>
      </c>
      <c r="E44" s="46">
        <v>107.5</v>
      </c>
    </row>
    <row r="45" spans="1:5">
      <c r="A45" s="47">
        <v>2000</v>
      </c>
      <c r="B45" s="46">
        <v>116.1</v>
      </c>
      <c r="C45" s="46">
        <v>115.7</v>
      </c>
      <c r="D45" s="46">
        <v>112</v>
      </c>
      <c r="E45" s="46">
        <v>111.5</v>
      </c>
    </row>
    <row r="46" spans="1:5">
      <c r="A46" s="47">
        <v>2001</v>
      </c>
      <c r="B46" s="46">
        <v>119.1</v>
      </c>
      <c r="C46" s="46">
        <v>118.6</v>
      </c>
      <c r="D46" s="46">
        <v>113.5</v>
      </c>
      <c r="E46" s="46">
        <v>112.8</v>
      </c>
    </row>
    <row r="47" spans="1:5">
      <c r="A47" s="47">
        <v>2002</v>
      </c>
      <c r="B47" s="46">
        <v>124</v>
      </c>
      <c r="C47" s="46">
        <v>123.5</v>
      </c>
      <c r="D47" s="46">
        <v>115.7</v>
      </c>
      <c r="E47" s="46">
        <v>115.1</v>
      </c>
    </row>
    <row r="48" spans="1:5">
      <c r="A48" s="47">
        <v>2003</v>
      </c>
      <c r="B48" s="46">
        <v>128.69999999999999</v>
      </c>
      <c r="C48" s="46">
        <v>128</v>
      </c>
      <c r="D48" s="46">
        <v>117.7</v>
      </c>
      <c r="E48" s="46">
        <v>117.1</v>
      </c>
    </row>
    <row r="49" spans="1:5">
      <c r="A49" s="47">
        <v>2004</v>
      </c>
      <c r="B49" s="46">
        <v>132.69999999999999</v>
      </c>
      <c r="C49" s="46">
        <v>131.80000000000001</v>
      </c>
      <c r="D49" s="46">
        <v>119</v>
      </c>
      <c r="E49" s="46">
        <v>118.2</v>
      </c>
    </row>
    <row r="50" spans="1:5">
      <c r="A50" s="47">
        <v>2005</v>
      </c>
      <c r="B50" s="46">
        <v>135.69999999999999</v>
      </c>
      <c r="C50" s="46">
        <v>134.9</v>
      </c>
      <c r="D50" s="46">
        <v>120.2</v>
      </c>
      <c r="E50" s="46">
        <v>119.3</v>
      </c>
    </row>
    <row r="51" spans="1:5">
      <c r="A51" s="57"/>
      <c r="B51" s="48"/>
      <c r="C51" s="48"/>
      <c r="D51" s="48"/>
      <c r="E51" s="48"/>
    </row>
    <row r="52" spans="1:5" ht="67.5">
      <c r="A52" s="45" t="s">
        <v>189</v>
      </c>
      <c r="B52" s="45"/>
      <c r="C52" s="45"/>
      <c r="D52" s="45"/>
      <c r="E52" s="45"/>
    </row>
    <row r="53" spans="1:5" ht="247.5">
      <c r="A53" s="44" t="s">
        <v>190</v>
      </c>
      <c r="B53" s="44"/>
      <c r="C53" s="44"/>
      <c r="D53" s="44"/>
      <c r="E53" s="44"/>
    </row>
    <row r="54" spans="1:5" ht="247.5">
      <c r="A54" s="44" t="s">
        <v>191</v>
      </c>
      <c r="B54" s="44"/>
      <c r="C54" s="44"/>
      <c r="D54" s="44"/>
      <c r="E54" s="44"/>
    </row>
    <row r="55" spans="1:5" ht="67.5">
      <c r="A55" s="43" t="s">
        <v>192</v>
      </c>
      <c r="B55" s="43"/>
      <c r="C55" s="43"/>
      <c r="D55" s="43"/>
      <c r="E55" s="43"/>
    </row>
    <row r="57" spans="1:5">
      <c r="B57" s="103">
        <v>60.8</v>
      </c>
      <c r="C57" s="103">
        <v>63.3</v>
      </c>
    </row>
    <row r="58" spans="1:5">
      <c r="B58" s="103">
        <v>62.5</v>
      </c>
      <c r="C58" s="103">
        <v>64.8</v>
      </c>
    </row>
    <row r="59" spans="1:5">
      <c r="B59" s="103">
        <v>64.599999999999994</v>
      </c>
      <c r="C59" s="103">
        <v>66.7</v>
      </c>
    </row>
    <row r="60" spans="1:5">
      <c r="B60" s="103">
        <v>66.099999999999994</v>
      </c>
      <c r="C60" s="103">
        <v>68.099999999999994</v>
      </c>
    </row>
    <row r="61" spans="1:5">
      <c r="B61" s="103">
        <v>67.7</v>
      </c>
      <c r="C61" s="103">
        <v>69.3</v>
      </c>
    </row>
    <row r="62" spans="1:5">
      <c r="B62" s="103">
        <v>69.099999999999994</v>
      </c>
      <c r="C62" s="103">
        <v>70.5</v>
      </c>
    </row>
    <row r="63" spans="1:5">
      <c r="B63" s="103">
        <v>71.7</v>
      </c>
      <c r="C63" s="103">
        <v>72.599999999999994</v>
      </c>
    </row>
    <row r="64" spans="1:5">
      <c r="B64" s="103">
        <v>73.5</v>
      </c>
      <c r="C64" s="103">
        <v>74.5</v>
      </c>
    </row>
    <row r="65" spans="2:3">
      <c r="B65" s="103">
        <v>76.2</v>
      </c>
      <c r="C65" s="103">
        <v>77.099999999999994</v>
      </c>
    </row>
    <row r="66" spans="2:3">
      <c r="B66" s="103">
        <v>77.3</v>
      </c>
      <c r="C66" s="103">
        <v>78.099999999999994</v>
      </c>
    </row>
    <row r="67" spans="2:3">
      <c r="B67" s="103">
        <v>78.8</v>
      </c>
      <c r="C67" s="103">
        <v>79.2</v>
      </c>
    </row>
    <row r="68" spans="2:3">
      <c r="B68" s="103">
        <v>80.2</v>
      </c>
      <c r="C68" s="103">
        <v>80.7</v>
      </c>
    </row>
    <row r="69" spans="2:3">
      <c r="B69" s="103">
        <v>82.6</v>
      </c>
      <c r="C69" s="103">
        <v>83.2</v>
      </c>
    </row>
    <row r="70" spans="2:3">
      <c r="B70" s="103">
        <v>84.3</v>
      </c>
      <c r="C70" s="103">
        <v>84.7</v>
      </c>
    </row>
    <row r="71" spans="2:3">
      <c r="B71" s="103">
        <v>83.3</v>
      </c>
      <c r="C71" s="103">
        <v>83.8</v>
      </c>
    </row>
    <row r="72" spans="2:3">
      <c r="B72" s="103">
        <v>84.1</v>
      </c>
      <c r="C72" s="103">
        <v>84.5</v>
      </c>
    </row>
    <row r="73" spans="2:3">
      <c r="B73" s="103">
        <v>86.4</v>
      </c>
      <c r="C73" s="103">
        <v>86.6</v>
      </c>
    </row>
    <row r="74" spans="2:3">
      <c r="B74" s="103">
        <v>87.6</v>
      </c>
      <c r="C74" s="103">
        <v>88</v>
      </c>
    </row>
    <row r="75" spans="2:3">
      <c r="B75" s="103">
        <v>89.1</v>
      </c>
      <c r="C75" s="103">
        <v>89.6</v>
      </c>
    </row>
    <row r="76" spans="2:3">
      <c r="B76" s="103">
        <v>89.3</v>
      </c>
      <c r="C76" s="103">
        <v>89.7</v>
      </c>
    </row>
    <row r="77" spans="2:3">
      <c r="B77" s="103">
        <v>89.1</v>
      </c>
      <c r="C77" s="103">
        <v>89.5</v>
      </c>
    </row>
    <row r="78" spans="2:3">
      <c r="B78" s="103">
        <v>89.3</v>
      </c>
      <c r="C78" s="103">
        <v>89.8</v>
      </c>
    </row>
    <row r="79" spans="2:3">
      <c r="B79" s="103">
        <v>90.4</v>
      </c>
      <c r="C79" s="103">
        <v>90.8</v>
      </c>
    </row>
    <row r="80" spans="2:3">
      <c r="B80" s="103">
        <v>90.3</v>
      </c>
      <c r="C80" s="103">
        <v>90.9</v>
      </c>
    </row>
    <row r="81" spans="2:3">
      <c r="B81" s="103">
        <v>90.7</v>
      </c>
      <c r="C81" s="103">
        <v>91.1</v>
      </c>
    </row>
    <row r="82" spans="2:3">
      <c r="B82" s="103">
        <v>92</v>
      </c>
      <c r="C82" s="103">
        <v>92.2</v>
      </c>
    </row>
    <row r="83" spans="2:3">
      <c r="B83" s="103">
        <v>94.9</v>
      </c>
      <c r="C83" s="103">
        <v>95.2</v>
      </c>
    </row>
    <row r="84" spans="2:3">
      <c r="B84" s="103">
        <v>95.2</v>
      </c>
      <c r="C84" s="103">
        <v>95.5</v>
      </c>
    </row>
    <row r="85" spans="2:3">
      <c r="B85" s="103">
        <v>96.5</v>
      </c>
      <c r="C85" s="103">
        <v>96.7</v>
      </c>
    </row>
    <row r="86" spans="2:3">
      <c r="B86" s="103">
        <v>95</v>
      </c>
      <c r="C86" s="103">
        <v>95.1</v>
      </c>
    </row>
    <row r="87" spans="2:3">
      <c r="B87" s="103">
        <v>96.2</v>
      </c>
      <c r="C87" s="103">
        <v>96.1</v>
      </c>
    </row>
    <row r="88" spans="2:3">
      <c r="B88" s="103">
        <v>97.4</v>
      </c>
      <c r="C88" s="103">
        <v>97.4</v>
      </c>
    </row>
    <row r="89" spans="2:3">
      <c r="B89" s="103">
        <v>100</v>
      </c>
      <c r="C89" s="103">
        <v>100</v>
      </c>
    </row>
    <row r="90" spans="2:3">
      <c r="B90" s="103">
        <v>99.7</v>
      </c>
      <c r="C90" s="103">
        <v>99.5</v>
      </c>
    </row>
    <row r="91" spans="2:3">
      <c r="B91" s="103">
        <v>99</v>
      </c>
      <c r="C91" s="103">
        <v>99.1</v>
      </c>
    </row>
    <row r="92" spans="2:3">
      <c r="B92" s="103">
        <v>98.7</v>
      </c>
      <c r="C92" s="103">
        <v>98.8</v>
      </c>
    </row>
    <row r="93" spans="2:3">
      <c r="B93" s="103">
        <v>99.4</v>
      </c>
      <c r="C93" s="103">
        <v>99.4</v>
      </c>
    </row>
    <row r="94" spans="2:3">
      <c r="B94" s="103">
        <v>100.5</v>
      </c>
      <c r="C94" s="103">
        <v>100.3</v>
      </c>
    </row>
    <row r="95" spans="2:3">
      <c r="B95" s="103">
        <v>105.2</v>
      </c>
      <c r="C95" s="103">
        <v>104.9</v>
      </c>
    </row>
    <row r="96" spans="2:3">
      <c r="B96" s="103">
        <v>108</v>
      </c>
      <c r="C96" s="103">
        <v>107.5</v>
      </c>
    </row>
    <row r="97" spans="2:3">
      <c r="B97" s="103">
        <v>112</v>
      </c>
      <c r="C97" s="103">
        <v>111.5</v>
      </c>
    </row>
    <row r="98" spans="2:3">
      <c r="B98" s="103">
        <v>113.5</v>
      </c>
      <c r="C98" s="103">
        <v>112.8</v>
      </c>
    </row>
    <row r="99" spans="2:3">
      <c r="B99" s="103">
        <v>115.7</v>
      </c>
      <c r="C99" s="103">
        <v>115.1</v>
      </c>
    </row>
    <row r="100" spans="2:3">
      <c r="B100" s="103">
        <v>117.7</v>
      </c>
      <c r="C100" s="103">
        <v>117.1</v>
      </c>
    </row>
    <row r="101" spans="2:3">
      <c r="B101" s="103">
        <v>119</v>
      </c>
      <c r="C101" s="103">
        <v>118.2</v>
      </c>
    </row>
    <row r="102" spans="2:3">
      <c r="B102" s="103">
        <v>120.2</v>
      </c>
      <c r="C102" s="103">
        <v>119.3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2048-AFAB-43EA-B793-49001C8CFEBA}">
  <dimension ref="A1:K80"/>
  <sheetViews>
    <sheetView topLeftCell="A46" workbookViewId="0">
      <selection activeCell="A51" sqref="A51:D80"/>
    </sheetView>
  </sheetViews>
  <sheetFormatPr defaultRowHeight="15"/>
  <sheetData>
    <row r="1" spans="1:11" ht="22.5">
      <c r="A1" s="41" t="s">
        <v>193</v>
      </c>
      <c r="B1" s="41"/>
      <c r="C1" s="62"/>
      <c r="D1" s="62"/>
    </row>
    <row r="2" spans="1:11" ht="22.5">
      <c r="A2" s="41" t="s">
        <v>194</v>
      </c>
      <c r="B2" s="41"/>
      <c r="C2" s="62"/>
      <c r="D2" s="62"/>
    </row>
    <row r="3" spans="1:11">
      <c r="A3" s="63"/>
      <c r="B3" s="64"/>
      <c r="C3" s="65"/>
      <c r="D3" s="65"/>
    </row>
    <row r="4" spans="1:11">
      <c r="A4" s="66" t="s">
        <v>63</v>
      </c>
      <c r="B4" s="64" t="s">
        <v>195</v>
      </c>
      <c r="C4" s="65" t="s">
        <v>196</v>
      </c>
      <c r="D4" s="65" t="s">
        <v>197</v>
      </c>
      <c r="H4" s="66" t="s">
        <v>63</v>
      </c>
      <c r="I4" s="64" t="s">
        <v>195</v>
      </c>
      <c r="J4" s="65" t="s">
        <v>1308</v>
      </c>
      <c r="K4" s="65" t="s">
        <v>1309</v>
      </c>
    </row>
    <row r="5" spans="1:11">
      <c r="A5" s="67">
        <v>1974</v>
      </c>
      <c r="B5" s="64">
        <v>159.26</v>
      </c>
      <c r="C5" s="65">
        <v>463.54</v>
      </c>
      <c r="D5" s="65">
        <v>49.3</v>
      </c>
      <c r="H5">
        <v>1980</v>
      </c>
      <c r="I5">
        <v>1158.75</v>
      </c>
      <c r="J5">
        <v>122.32</v>
      </c>
      <c r="K5">
        <v>31.2</v>
      </c>
    </row>
    <row r="6" spans="1:11">
      <c r="A6" s="67">
        <v>1975</v>
      </c>
      <c r="B6" s="64">
        <v>161.02000000000001</v>
      </c>
      <c r="C6" s="65">
        <v>483.55</v>
      </c>
      <c r="D6" s="65">
        <v>53.8</v>
      </c>
      <c r="H6">
        <v>1981</v>
      </c>
      <c r="I6">
        <v>1522.44</v>
      </c>
      <c r="J6">
        <v>138.87</v>
      </c>
      <c r="K6">
        <v>36.9</v>
      </c>
    </row>
    <row r="7" spans="1:11">
      <c r="A7" s="67">
        <v>1976</v>
      </c>
      <c r="B7" s="64">
        <v>124.84</v>
      </c>
      <c r="C7" s="65">
        <v>575.85</v>
      </c>
      <c r="D7" s="65">
        <v>56.9</v>
      </c>
      <c r="H7">
        <v>1982</v>
      </c>
      <c r="I7">
        <v>1719.17</v>
      </c>
      <c r="J7">
        <v>207.91</v>
      </c>
      <c r="K7">
        <v>40.4</v>
      </c>
    </row>
    <row r="8" spans="1:11">
      <c r="A8" s="67">
        <v>1977</v>
      </c>
      <c r="B8" s="64">
        <v>147.71</v>
      </c>
      <c r="C8" s="65">
        <v>567.66</v>
      </c>
      <c r="D8" s="65">
        <v>60.6</v>
      </c>
      <c r="H8">
        <v>1983</v>
      </c>
      <c r="I8">
        <v>1722.54</v>
      </c>
      <c r="J8">
        <v>221.51</v>
      </c>
      <c r="K8">
        <v>41.4</v>
      </c>
    </row>
    <row r="9" spans="1:11">
      <c r="A9" s="67">
        <v>1978</v>
      </c>
      <c r="B9" s="64">
        <v>193.22</v>
      </c>
      <c r="C9" s="65">
        <v>567.80999999999995</v>
      </c>
      <c r="D9" s="65">
        <v>65.2</v>
      </c>
      <c r="H9">
        <v>1984</v>
      </c>
      <c r="I9">
        <v>1858.47</v>
      </c>
      <c r="J9">
        <v>238.33</v>
      </c>
      <c r="K9">
        <v>45.3</v>
      </c>
    </row>
    <row r="10" spans="1:11">
      <c r="A10" s="67">
        <v>1979</v>
      </c>
      <c r="B10" s="64">
        <v>306.68</v>
      </c>
      <c r="C10" s="65">
        <v>616.67999999999995</v>
      </c>
      <c r="D10" s="65">
        <v>72.599999999999994</v>
      </c>
      <c r="H10">
        <v>1985</v>
      </c>
      <c r="I10">
        <v>1983.92</v>
      </c>
      <c r="J10">
        <v>266.19</v>
      </c>
      <c r="K10">
        <v>48.5</v>
      </c>
    </row>
    <row r="11" spans="1:11">
      <c r="A11" s="67">
        <v>1980</v>
      </c>
      <c r="B11" s="64">
        <v>612.55999999999995</v>
      </c>
      <c r="C11" s="65">
        <v>720.15</v>
      </c>
      <c r="D11" s="65">
        <v>82.4</v>
      </c>
      <c r="H11">
        <v>1986</v>
      </c>
      <c r="I11">
        <v>2125.4699999999998</v>
      </c>
      <c r="J11">
        <v>492.23</v>
      </c>
      <c r="K11">
        <v>51.3</v>
      </c>
    </row>
    <row r="12" spans="1:11">
      <c r="A12" s="67">
        <v>1981</v>
      </c>
      <c r="B12" s="64">
        <v>460.03</v>
      </c>
      <c r="C12" s="65">
        <v>782.62</v>
      </c>
      <c r="D12" s="65">
        <v>90.9</v>
      </c>
      <c r="H12">
        <v>1987</v>
      </c>
      <c r="I12">
        <v>2323.4899999999998</v>
      </c>
      <c r="J12">
        <v>567.39</v>
      </c>
      <c r="K12">
        <v>54</v>
      </c>
    </row>
    <row r="13" spans="1:11">
      <c r="A13" s="67">
        <v>1982</v>
      </c>
      <c r="B13" s="64">
        <v>375.67</v>
      </c>
      <c r="C13" s="65">
        <v>728.84</v>
      </c>
      <c r="D13" s="65">
        <v>96.5</v>
      </c>
      <c r="H13">
        <v>1988</v>
      </c>
      <c r="I13">
        <v>3082.43</v>
      </c>
      <c r="J13">
        <v>454.46</v>
      </c>
      <c r="K13">
        <v>58.2</v>
      </c>
    </row>
    <row r="14" spans="1:11">
      <c r="A14" s="67">
        <v>1983</v>
      </c>
      <c r="B14" s="64">
        <v>424.35</v>
      </c>
      <c r="C14" s="65">
        <v>979.52</v>
      </c>
      <c r="D14" s="65">
        <v>99.6</v>
      </c>
      <c r="H14">
        <v>1989</v>
      </c>
      <c r="I14">
        <v>3175.22</v>
      </c>
      <c r="J14">
        <v>613.66</v>
      </c>
      <c r="K14">
        <v>62.2</v>
      </c>
    </row>
    <row r="15" spans="1:11">
      <c r="A15" s="67">
        <v>1984</v>
      </c>
      <c r="B15" s="64">
        <v>360.48</v>
      </c>
      <c r="C15" s="65">
        <v>977.33</v>
      </c>
      <c r="D15" s="65">
        <v>103.9</v>
      </c>
      <c r="H15">
        <v>1990</v>
      </c>
      <c r="I15">
        <v>3229.33</v>
      </c>
      <c r="J15">
        <v>729.49</v>
      </c>
      <c r="K15">
        <v>66.900000000000006</v>
      </c>
    </row>
    <row r="16" spans="1:11">
      <c r="A16" s="67">
        <v>1985</v>
      </c>
      <c r="B16" s="64">
        <v>317.26</v>
      </c>
      <c r="C16" s="65">
        <v>1142.97</v>
      </c>
      <c r="D16" s="65">
        <v>107.6</v>
      </c>
      <c r="H16">
        <v>1991</v>
      </c>
      <c r="I16">
        <v>3451.52</v>
      </c>
      <c r="J16">
        <v>1049.53</v>
      </c>
      <c r="K16">
        <v>73.7</v>
      </c>
    </row>
    <row r="17" spans="1:11">
      <c r="A17" s="67">
        <v>1986</v>
      </c>
      <c r="B17" s="64">
        <v>367.66</v>
      </c>
      <c r="C17" s="65">
        <v>1438.02</v>
      </c>
      <c r="D17" s="65">
        <v>109.6</v>
      </c>
      <c r="H17">
        <v>1992</v>
      </c>
      <c r="I17">
        <v>4297.63</v>
      </c>
      <c r="J17">
        <v>1879.51</v>
      </c>
      <c r="K17">
        <v>83.9</v>
      </c>
    </row>
    <row r="18" spans="1:11">
      <c r="A18" s="67">
        <v>1987</v>
      </c>
      <c r="B18" s="64">
        <v>446.46</v>
      </c>
      <c r="C18" s="65">
        <v>1709.79</v>
      </c>
      <c r="D18" s="65">
        <v>113.6</v>
      </c>
      <c r="H18">
        <v>1993</v>
      </c>
      <c r="I18">
        <v>4103.66</v>
      </c>
      <c r="J18">
        <v>2895.67</v>
      </c>
      <c r="K18">
        <v>92.3</v>
      </c>
    </row>
    <row r="19" spans="1:11">
      <c r="A19" s="67">
        <v>1988</v>
      </c>
      <c r="B19" s="64">
        <v>436.94</v>
      </c>
      <c r="C19" s="65">
        <v>1585.14</v>
      </c>
      <c r="D19" s="65">
        <v>118.3</v>
      </c>
      <c r="H19">
        <v>1994</v>
      </c>
      <c r="I19">
        <v>4531.87</v>
      </c>
      <c r="J19">
        <v>2898.69</v>
      </c>
      <c r="K19">
        <v>100</v>
      </c>
    </row>
    <row r="20" spans="1:11">
      <c r="A20" s="67">
        <v>1989</v>
      </c>
      <c r="B20" s="64">
        <v>381.44</v>
      </c>
      <c r="C20" s="65">
        <v>1903.36</v>
      </c>
      <c r="D20" s="65">
        <v>124</v>
      </c>
      <c r="H20">
        <v>1995</v>
      </c>
      <c r="I20">
        <v>4667.24</v>
      </c>
      <c r="J20">
        <v>3974.91</v>
      </c>
      <c r="K20">
        <v>112.6</v>
      </c>
    </row>
    <row r="21" spans="1:11">
      <c r="A21" s="67">
        <v>1990</v>
      </c>
      <c r="B21" s="64">
        <v>383.51</v>
      </c>
      <c r="C21" s="65">
        <v>1939.47</v>
      </c>
      <c r="D21" s="65">
        <v>130.69999999999999</v>
      </c>
      <c r="H21">
        <v>1996</v>
      </c>
      <c r="I21">
        <v>4957.6000000000004</v>
      </c>
      <c r="J21">
        <v>3288.68</v>
      </c>
      <c r="K21">
        <v>121.6</v>
      </c>
    </row>
    <row r="22" spans="1:11">
      <c r="A22" s="67">
        <v>1991</v>
      </c>
      <c r="B22" s="64">
        <v>362.11</v>
      </c>
      <c r="C22" s="65">
        <v>2181.7199999999998</v>
      </c>
      <c r="D22" s="65">
        <v>136.19999999999999</v>
      </c>
      <c r="H22">
        <v>1997</v>
      </c>
      <c r="I22">
        <v>5070.71</v>
      </c>
      <c r="J22">
        <v>3469.24</v>
      </c>
      <c r="K22">
        <v>127.2</v>
      </c>
    </row>
    <row r="23" spans="1:11">
      <c r="A23" s="67">
        <v>1992</v>
      </c>
      <c r="B23" s="64">
        <v>343.82</v>
      </c>
      <c r="C23" s="65">
        <v>2421.5100000000002</v>
      </c>
      <c r="D23" s="65">
        <v>140.30000000000001</v>
      </c>
      <c r="H23">
        <v>1998</v>
      </c>
      <c r="I23">
        <v>4347.07</v>
      </c>
      <c r="J23">
        <v>3812.86</v>
      </c>
      <c r="K23">
        <v>132.80000000000001</v>
      </c>
    </row>
    <row r="24" spans="1:11">
      <c r="A24" s="67">
        <v>1993</v>
      </c>
      <c r="B24" s="64">
        <v>359.77</v>
      </c>
      <c r="C24" s="65">
        <v>2638.96</v>
      </c>
      <c r="D24" s="65">
        <v>144.5</v>
      </c>
      <c r="H24">
        <v>1999</v>
      </c>
      <c r="I24">
        <v>4268</v>
      </c>
      <c r="J24">
        <v>3294.78</v>
      </c>
      <c r="K24">
        <v>140.69999999999999</v>
      </c>
    </row>
    <row r="25" spans="1:11">
      <c r="A25" s="67">
        <v>1994</v>
      </c>
      <c r="B25" s="64">
        <v>384</v>
      </c>
      <c r="C25" s="65">
        <v>2687.02</v>
      </c>
      <c r="D25" s="65">
        <v>148.19999999999999</v>
      </c>
      <c r="H25">
        <v>2000</v>
      </c>
      <c r="I25">
        <v>4393.5600000000004</v>
      </c>
      <c r="J25">
        <v>4658.63</v>
      </c>
      <c r="K25">
        <v>145.30000000000001</v>
      </c>
    </row>
    <row r="26" spans="1:11">
      <c r="A26" s="67">
        <v>1995</v>
      </c>
      <c r="B26" s="64">
        <v>384.17</v>
      </c>
      <c r="C26" s="65">
        <v>3078.56</v>
      </c>
      <c r="D26" s="65">
        <v>152.4</v>
      </c>
      <c r="H26">
        <v>2001</v>
      </c>
      <c r="I26">
        <v>4473.6000000000004</v>
      </c>
      <c r="J26">
        <v>4269.6899999999996</v>
      </c>
      <c r="K26">
        <v>155.69999999999999</v>
      </c>
    </row>
    <row r="27" spans="1:11">
      <c r="A27" s="67">
        <v>1996</v>
      </c>
      <c r="B27" s="64">
        <v>387.77</v>
      </c>
      <c r="C27" s="65">
        <v>3787.2</v>
      </c>
      <c r="D27" s="65">
        <v>156.9</v>
      </c>
      <c r="H27">
        <v>2002</v>
      </c>
      <c r="I27">
        <v>4579.12</v>
      </c>
      <c r="J27">
        <v>3331.95</v>
      </c>
      <c r="K27">
        <v>161.30000000000001</v>
      </c>
    </row>
    <row r="28" spans="1:11">
      <c r="A28" s="67">
        <v>1997</v>
      </c>
      <c r="B28" s="64">
        <v>331.02</v>
      </c>
      <c r="C28" s="65">
        <v>4827.3500000000004</v>
      </c>
      <c r="D28" s="65">
        <v>160.5</v>
      </c>
      <c r="H28">
        <v>2003</v>
      </c>
      <c r="I28">
        <v>5332.36</v>
      </c>
      <c r="J28">
        <v>3206.29</v>
      </c>
      <c r="K28">
        <v>166.8</v>
      </c>
    </row>
    <row r="29" spans="1:11">
      <c r="A29" s="67">
        <v>1998</v>
      </c>
      <c r="B29" s="64">
        <v>294.24</v>
      </c>
      <c r="C29" s="65">
        <v>5818.26</v>
      </c>
      <c r="D29" s="65">
        <v>163</v>
      </c>
      <c r="H29">
        <v>2004</v>
      </c>
      <c r="I29">
        <v>5718.95</v>
      </c>
      <c r="J29">
        <v>4492.1899999999996</v>
      </c>
      <c r="K29">
        <v>175.9</v>
      </c>
    </row>
    <row r="30" spans="1:11">
      <c r="A30" s="67">
        <v>1999</v>
      </c>
      <c r="B30" s="64">
        <v>278.88</v>
      </c>
      <c r="C30" s="65">
        <v>6546.81</v>
      </c>
      <c r="D30" s="65">
        <v>166.6</v>
      </c>
      <c r="H30">
        <v>2005</v>
      </c>
      <c r="I30">
        <v>6145.38</v>
      </c>
      <c r="J30">
        <v>5740.52</v>
      </c>
      <c r="K30">
        <v>187.3</v>
      </c>
    </row>
    <row r="31" spans="1:11">
      <c r="A31" s="67">
        <v>2000</v>
      </c>
      <c r="B31" s="64">
        <v>279.11</v>
      </c>
      <c r="C31" s="65">
        <v>6805.89</v>
      </c>
      <c r="D31" s="65">
        <v>172.2</v>
      </c>
      <c r="H31">
        <v>2006</v>
      </c>
      <c r="I31">
        <v>6900.56</v>
      </c>
      <c r="J31">
        <v>8278.5499999999993</v>
      </c>
      <c r="K31">
        <v>195.6</v>
      </c>
    </row>
    <row r="32" spans="1:11">
      <c r="A32" s="67">
        <v>2001</v>
      </c>
      <c r="B32" s="64">
        <v>274.04000000000002</v>
      </c>
      <c r="C32" s="65">
        <v>6397.85</v>
      </c>
      <c r="D32" s="65">
        <v>177.1</v>
      </c>
      <c r="H32">
        <v>2007</v>
      </c>
      <c r="I32">
        <v>9240.32</v>
      </c>
      <c r="J32">
        <v>12277.33</v>
      </c>
      <c r="K32">
        <v>206.2</v>
      </c>
    </row>
    <row r="33" spans="1:11">
      <c r="A33" s="67">
        <v>2002</v>
      </c>
      <c r="B33" s="64">
        <v>309.73</v>
      </c>
      <c r="C33" s="65">
        <v>5578.89</v>
      </c>
      <c r="D33" s="65">
        <v>179.9</v>
      </c>
      <c r="H33">
        <v>2008</v>
      </c>
      <c r="I33">
        <v>9995.6200000000008</v>
      </c>
      <c r="J33">
        <v>16569</v>
      </c>
      <c r="K33">
        <v>215.7</v>
      </c>
    </row>
    <row r="34" spans="1:11">
      <c r="A34" s="67">
        <v>2003</v>
      </c>
      <c r="B34" s="64">
        <v>363.38</v>
      </c>
      <c r="C34" s="65">
        <v>5447.46</v>
      </c>
      <c r="D34" s="65">
        <v>184</v>
      </c>
    </row>
    <row r="35" spans="1:11">
      <c r="A35" s="67">
        <v>2004</v>
      </c>
      <c r="B35" s="64">
        <v>409.72</v>
      </c>
      <c r="C35" s="65">
        <v>6612.62</v>
      </c>
      <c r="D35" s="65">
        <v>188.9</v>
      </c>
    </row>
    <row r="36" spans="1:11">
      <c r="A36" s="67">
        <v>2005</v>
      </c>
      <c r="B36" s="64">
        <v>444.74</v>
      </c>
      <c r="C36" s="65">
        <v>7349</v>
      </c>
      <c r="D36" s="65">
        <v>195.3</v>
      </c>
    </row>
    <row r="37" spans="1:11">
      <c r="A37" s="67">
        <v>2006</v>
      </c>
      <c r="B37" s="64">
        <v>603.46</v>
      </c>
      <c r="C37" s="65">
        <v>8357.99</v>
      </c>
      <c r="D37" s="65">
        <v>201.6</v>
      </c>
    </row>
    <row r="38" spans="1:11" ht="56.25">
      <c r="A38" s="68" t="s">
        <v>198</v>
      </c>
      <c r="B38" s="68"/>
      <c r="C38" s="68"/>
      <c r="D38" s="42"/>
    </row>
    <row r="39" spans="1:11" ht="33.75">
      <c r="A39" s="69" t="s">
        <v>199</v>
      </c>
      <c r="B39" s="69"/>
      <c r="C39" s="69"/>
      <c r="D39" s="42"/>
    </row>
    <row r="40" spans="1:11" ht="157.5">
      <c r="A40" s="69" t="s">
        <v>200</v>
      </c>
      <c r="B40" s="69"/>
      <c r="C40" s="69"/>
      <c r="D40" s="42"/>
    </row>
    <row r="41" spans="1:11" ht="112.5">
      <c r="A41" s="70" t="s">
        <v>201</v>
      </c>
      <c r="B41" s="70"/>
      <c r="C41" s="70"/>
      <c r="D41" s="42"/>
    </row>
    <row r="42" spans="1:11" ht="146.25">
      <c r="A42" s="70" t="s">
        <v>202</v>
      </c>
      <c r="B42" s="70"/>
      <c r="C42" s="70"/>
      <c r="D42" s="42"/>
      <c r="E42" t="e">
        <f t="shared" ref="E42:E44" si="0">VALUE(A42)</f>
        <v>#VALUE!</v>
      </c>
    </row>
    <row r="43" spans="1:11" ht="67.5">
      <c r="A43" s="70" t="s">
        <v>192</v>
      </c>
      <c r="B43" s="70"/>
      <c r="C43" s="70"/>
      <c r="D43" s="42"/>
      <c r="E43" t="e">
        <f t="shared" si="0"/>
        <v>#VALUE!</v>
      </c>
    </row>
    <row r="44" spans="1:11" ht="33">
      <c r="A44" s="71" t="s">
        <v>203</v>
      </c>
      <c r="B44" s="42"/>
      <c r="C44" s="42"/>
      <c r="D44" s="42"/>
      <c r="E44" t="e">
        <f t="shared" si="0"/>
        <v>#VALUE!</v>
      </c>
    </row>
    <row r="51" spans="1:4">
      <c r="A51" s="66" t="s">
        <v>63</v>
      </c>
      <c r="B51" s="64" t="s">
        <v>195</v>
      </c>
      <c r="C51" s="65" t="s">
        <v>1308</v>
      </c>
      <c r="D51" s="65" t="s">
        <v>1309</v>
      </c>
    </row>
    <row r="52" spans="1:4">
      <c r="A52">
        <v>1980</v>
      </c>
      <c r="B52">
        <v>1158.75</v>
      </c>
      <c r="C52">
        <v>122.32</v>
      </c>
      <c r="D52">
        <v>31.2</v>
      </c>
    </row>
    <row r="53" spans="1:4">
      <c r="A53">
        <v>1981</v>
      </c>
      <c r="B53">
        <v>1522.44</v>
      </c>
      <c r="C53">
        <v>138.87</v>
      </c>
      <c r="D53">
        <v>36.9</v>
      </c>
    </row>
    <row r="54" spans="1:4">
      <c r="A54">
        <v>1982</v>
      </c>
      <c r="B54">
        <v>1719.17</v>
      </c>
      <c r="C54">
        <v>207.91</v>
      </c>
      <c r="D54">
        <v>40.4</v>
      </c>
    </row>
    <row r="55" spans="1:4">
      <c r="A55">
        <v>1983</v>
      </c>
      <c r="B55">
        <v>1722.54</v>
      </c>
      <c r="C55">
        <v>221.51</v>
      </c>
      <c r="D55">
        <v>41.4</v>
      </c>
    </row>
    <row r="56" spans="1:4">
      <c r="A56">
        <v>1984</v>
      </c>
      <c r="B56">
        <v>1858.47</v>
      </c>
      <c r="C56">
        <v>238.33</v>
      </c>
      <c r="D56">
        <v>45.3</v>
      </c>
    </row>
    <row r="57" spans="1:4">
      <c r="A57">
        <v>1985</v>
      </c>
      <c r="B57">
        <v>1983.92</v>
      </c>
      <c r="C57">
        <v>266.19</v>
      </c>
      <c r="D57">
        <v>48.5</v>
      </c>
    </row>
    <row r="58" spans="1:4">
      <c r="A58">
        <v>1986</v>
      </c>
      <c r="B58">
        <v>2125.4699999999998</v>
      </c>
      <c r="C58">
        <v>492.23</v>
      </c>
      <c r="D58">
        <v>51.3</v>
      </c>
    </row>
    <row r="59" spans="1:4">
      <c r="A59">
        <v>1987</v>
      </c>
      <c r="B59">
        <v>2323.4899999999998</v>
      </c>
      <c r="C59">
        <v>567.39</v>
      </c>
      <c r="D59">
        <v>54</v>
      </c>
    </row>
    <row r="60" spans="1:4">
      <c r="A60">
        <v>1988</v>
      </c>
      <c r="B60">
        <v>3082.43</v>
      </c>
      <c r="C60">
        <v>454.46</v>
      </c>
      <c r="D60">
        <v>58.2</v>
      </c>
    </row>
    <row r="61" spans="1:4">
      <c r="A61">
        <v>1989</v>
      </c>
      <c r="B61">
        <v>3175.22</v>
      </c>
      <c r="C61">
        <v>613.66</v>
      </c>
      <c r="D61">
        <v>62.2</v>
      </c>
    </row>
    <row r="62" spans="1:4">
      <c r="A62">
        <v>1990</v>
      </c>
      <c r="B62">
        <v>3229.33</v>
      </c>
      <c r="C62">
        <v>729.49</v>
      </c>
      <c r="D62">
        <v>66.900000000000006</v>
      </c>
    </row>
    <row r="63" spans="1:4">
      <c r="A63">
        <v>1991</v>
      </c>
      <c r="B63">
        <v>3451.52</v>
      </c>
      <c r="C63">
        <v>1049.53</v>
      </c>
      <c r="D63">
        <v>73.7</v>
      </c>
    </row>
    <row r="64" spans="1:4">
      <c r="A64">
        <v>1992</v>
      </c>
      <c r="B64">
        <v>4297.63</v>
      </c>
      <c r="C64">
        <v>1879.51</v>
      </c>
      <c r="D64">
        <v>83.9</v>
      </c>
    </row>
    <row r="65" spans="1:4">
      <c r="A65">
        <v>1993</v>
      </c>
      <c r="B65">
        <v>4103.66</v>
      </c>
      <c r="C65">
        <v>2895.67</v>
      </c>
      <c r="D65">
        <v>92.3</v>
      </c>
    </row>
    <row r="66" spans="1:4">
      <c r="A66">
        <v>1994</v>
      </c>
      <c r="B66">
        <v>4531.87</v>
      </c>
      <c r="C66">
        <v>2898.69</v>
      </c>
      <c r="D66">
        <v>100</v>
      </c>
    </row>
    <row r="67" spans="1:4">
      <c r="A67">
        <v>1995</v>
      </c>
      <c r="B67">
        <v>4667.24</v>
      </c>
      <c r="C67">
        <v>3974.91</v>
      </c>
      <c r="D67">
        <v>112.6</v>
      </c>
    </row>
    <row r="68" spans="1:4">
      <c r="A68">
        <v>1996</v>
      </c>
      <c r="B68">
        <v>4957.6000000000004</v>
      </c>
      <c r="C68">
        <v>3288.68</v>
      </c>
      <c r="D68">
        <v>121.6</v>
      </c>
    </row>
    <row r="69" spans="1:4">
      <c r="A69">
        <v>1997</v>
      </c>
      <c r="B69">
        <v>5070.71</v>
      </c>
      <c r="C69">
        <v>3469.24</v>
      </c>
      <c r="D69">
        <v>127.2</v>
      </c>
    </row>
    <row r="70" spans="1:4">
      <c r="A70">
        <v>1998</v>
      </c>
      <c r="B70">
        <v>4347.07</v>
      </c>
      <c r="C70">
        <v>3812.86</v>
      </c>
      <c r="D70">
        <v>132.80000000000001</v>
      </c>
    </row>
    <row r="71" spans="1:4">
      <c r="A71">
        <v>1999</v>
      </c>
      <c r="B71">
        <v>4268</v>
      </c>
      <c r="C71">
        <v>3294.78</v>
      </c>
      <c r="D71">
        <v>140.69999999999999</v>
      </c>
    </row>
    <row r="72" spans="1:4">
      <c r="A72">
        <v>2000</v>
      </c>
      <c r="B72">
        <v>4393.5600000000004</v>
      </c>
      <c r="C72">
        <v>4658.63</v>
      </c>
      <c r="D72">
        <v>145.30000000000001</v>
      </c>
    </row>
    <row r="73" spans="1:4">
      <c r="A73">
        <v>2001</v>
      </c>
      <c r="B73">
        <v>4473.6000000000004</v>
      </c>
      <c r="C73">
        <v>4269.6899999999996</v>
      </c>
      <c r="D73">
        <v>155.69999999999999</v>
      </c>
    </row>
    <row r="74" spans="1:4">
      <c r="A74">
        <v>2002</v>
      </c>
      <c r="B74">
        <v>4579.12</v>
      </c>
      <c r="C74">
        <v>3331.95</v>
      </c>
      <c r="D74">
        <v>161.30000000000001</v>
      </c>
    </row>
    <row r="75" spans="1:4">
      <c r="A75">
        <v>2003</v>
      </c>
      <c r="B75">
        <v>5332.36</v>
      </c>
      <c r="C75">
        <v>3206.29</v>
      </c>
      <c r="D75">
        <v>166.8</v>
      </c>
    </row>
    <row r="76" spans="1:4">
      <c r="A76">
        <v>2004</v>
      </c>
      <c r="B76">
        <v>5718.95</v>
      </c>
      <c r="C76">
        <v>4492.1899999999996</v>
      </c>
      <c r="D76">
        <v>175.9</v>
      </c>
    </row>
    <row r="77" spans="1:4">
      <c r="A77">
        <v>2005</v>
      </c>
      <c r="B77">
        <v>6145.38</v>
      </c>
      <c r="C77">
        <v>5740.52</v>
      </c>
      <c r="D77">
        <v>187.3</v>
      </c>
    </row>
    <row r="78" spans="1:4">
      <c r="A78">
        <v>2006</v>
      </c>
      <c r="B78">
        <v>6900.56</v>
      </c>
      <c r="C78">
        <v>8278.5499999999993</v>
      </c>
      <c r="D78">
        <v>195.6</v>
      </c>
    </row>
    <row r="79" spans="1:4">
      <c r="A79">
        <v>2007</v>
      </c>
      <c r="B79">
        <v>9240.32</v>
      </c>
      <c r="C79">
        <v>12277.33</v>
      </c>
      <c r="D79">
        <v>206.2</v>
      </c>
    </row>
    <row r="80" spans="1:4">
      <c r="A80">
        <v>2008</v>
      </c>
      <c r="B80">
        <v>9995.6200000000008</v>
      </c>
      <c r="C80">
        <v>16569</v>
      </c>
      <c r="D80">
        <v>215.7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F8A2E-680F-4440-9752-D5D787B3DF1A}">
  <dimension ref="A1:C53"/>
  <sheetViews>
    <sheetView topLeftCell="A13" workbookViewId="0">
      <selection activeCell="A6" sqref="A6:C8"/>
    </sheetView>
  </sheetViews>
  <sheetFormatPr defaultRowHeight="15"/>
  <sheetData>
    <row r="1" spans="1:3" ht="38.25">
      <c r="A1" s="72" t="s">
        <v>204</v>
      </c>
      <c r="B1" s="73"/>
      <c r="C1" s="73"/>
    </row>
    <row r="2" spans="1:3" ht="25.5">
      <c r="A2" s="72" t="s">
        <v>205</v>
      </c>
      <c r="B2" s="73"/>
      <c r="C2" s="73"/>
    </row>
    <row r="3" spans="1:3" ht="25.5">
      <c r="A3" s="72" t="s">
        <v>206</v>
      </c>
      <c r="B3" s="73"/>
      <c r="C3" s="73"/>
    </row>
    <row r="4" spans="1:3" ht="25.5">
      <c r="A4" s="72" t="s">
        <v>207</v>
      </c>
      <c r="B4" s="73"/>
      <c r="C4" s="73"/>
    </row>
    <row r="5" spans="1:3">
      <c r="A5" s="72"/>
      <c r="B5" s="73"/>
      <c r="C5" s="73"/>
    </row>
    <row r="6" spans="1:3">
      <c r="A6" s="74" t="s">
        <v>63</v>
      </c>
      <c r="B6" s="75" t="s">
        <v>208</v>
      </c>
      <c r="C6" s="75" t="s">
        <v>209</v>
      </c>
    </row>
    <row r="7" spans="1:3">
      <c r="A7" s="76">
        <v>1959</v>
      </c>
      <c r="B7" s="77">
        <v>506.6</v>
      </c>
      <c r="C7" s="77">
        <v>2441.3000000000002</v>
      </c>
    </row>
    <row r="8" spans="1:3">
      <c r="A8" s="76">
        <v>1960</v>
      </c>
      <c r="B8" s="77">
        <v>526.4</v>
      </c>
      <c r="C8" s="77">
        <v>2501.8000000000002</v>
      </c>
    </row>
    <row r="9" spans="1:3">
      <c r="A9" s="76">
        <v>1961</v>
      </c>
      <c r="B9" s="77">
        <v>544.70000000000005</v>
      </c>
      <c r="C9" s="77">
        <v>2560</v>
      </c>
    </row>
    <row r="10" spans="1:3">
      <c r="A10" s="76">
        <v>1962</v>
      </c>
      <c r="B10" s="77">
        <v>585.6</v>
      </c>
      <c r="C10" s="77">
        <v>2715.2</v>
      </c>
    </row>
    <row r="11" spans="1:3">
      <c r="A11" s="76">
        <v>1963</v>
      </c>
      <c r="B11" s="77">
        <v>617.70000000000005</v>
      </c>
      <c r="C11" s="77">
        <v>2834</v>
      </c>
    </row>
    <row r="12" spans="1:3">
      <c r="A12" s="76">
        <v>1964</v>
      </c>
      <c r="B12" s="77">
        <v>663.6</v>
      </c>
      <c r="C12" s="77">
        <v>2998.6</v>
      </c>
    </row>
    <row r="13" spans="1:3">
      <c r="A13" s="76">
        <v>1965</v>
      </c>
      <c r="B13" s="77">
        <v>719.1</v>
      </c>
      <c r="C13" s="77">
        <v>3191.1</v>
      </c>
    </row>
    <row r="14" spans="1:3">
      <c r="A14" s="76">
        <v>1966</v>
      </c>
      <c r="B14" s="77">
        <v>787.8</v>
      </c>
      <c r="C14" s="77">
        <v>3399.1</v>
      </c>
    </row>
    <row r="15" spans="1:3">
      <c r="A15" s="76">
        <v>1967</v>
      </c>
      <c r="B15" s="77">
        <v>832.6</v>
      </c>
      <c r="C15" s="77">
        <v>3484.6</v>
      </c>
    </row>
    <row r="16" spans="1:3">
      <c r="A16" s="76">
        <v>1968</v>
      </c>
      <c r="B16" s="77">
        <v>910</v>
      </c>
      <c r="C16" s="77">
        <v>3652.7</v>
      </c>
    </row>
    <row r="17" spans="1:3">
      <c r="A17" s="76">
        <v>1969</v>
      </c>
      <c r="B17" s="77">
        <v>984.6</v>
      </c>
      <c r="C17" s="77">
        <v>3765.4</v>
      </c>
    </row>
    <row r="18" spans="1:3">
      <c r="A18" s="76">
        <v>1970</v>
      </c>
      <c r="B18" s="77">
        <v>1038.5</v>
      </c>
      <c r="C18" s="77">
        <v>3771.9</v>
      </c>
    </row>
    <row r="19" spans="1:3">
      <c r="A19" s="76">
        <v>1971</v>
      </c>
      <c r="B19" s="77">
        <v>1127.0999999999999</v>
      </c>
      <c r="C19" s="77">
        <v>3898.6</v>
      </c>
    </row>
    <row r="20" spans="1:3">
      <c r="A20" s="76">
        <v>1972</v>
      </c>
      <c r="B20" s="77">
        <v>1238.3</v>
      </c>
      <c r="C20" s="77">
        <v>4105</v>
      </c>
    </row>
    <row r="21" spans="1:3">
      <c r="A21" s="76">
        <v>1973</v>
      </c>
      <c r="B21" s="77">
        <v>1382.7</v>
      </c>
      <c r="C21" s="77">
        <v>4341.5</v>
      </c>
    </row>
    <row r="22" spans="1:3">
      <c r="A22" s="76">
        <v>1974</v>
      </c>
      <c r="B22" s="77">
        <v>1500</v>
      </c>
      <c r="C22" s="77">
        <v>4319.6000000000004</v>
      </c>
    </row>
    <row r="23" spans="1:3">
      <c r="A23" s="76">
        <v>1975</v>
      </c>
      <c r="B23" s="77">
        <v>1638.3</v>
      </c>
      <c r="C23" s="77">
        <v>4311.2</v>
      </c>
    </row>
    <row r="24" spans="1:3">
      <c r="A24" s="76">
        <v>1976</v>
      </c>
      <c r="B24" s="77">
        <v>1825.3</v>
      </c>
      <c r="C24" s="77">
        <v>4540.8999999999996</v>
      </c>
    </row>
    <row r="25" spans="1:3">
      <c r="A25" s="76">
        <v>1977</v>
      </c>
      <c r="B25" s="77">
        <v>2030.9</v>
      </c>
      <c r="C25" s="77">
        <v>4750.5</v>
      </c>
    </row>
    <row r="26" spans="1:3">
      <c r="A26" s="76">
        <v>1978</v>
      </c>
      <c r="B26" s="77">
        <v>2294.6999999999998</v>
      </c>
      <c r="C26" s="77">
        <v>5015</v>
      </c>
    </row>
    <row r="27" spans="1:3">
      <c r="A27" s="76">
        <v>1979</v>
      </c>
      <c r="B27" s="77">
        <v>2563.3000000000002</v>
      </c>
      <c r="C27" s="77">
        <v>5173.3999999999996</v>
      </c>
    </row>
    <row r="28" spans="1:3">
      <c r="A28" s="76">
        <v>1980</v>
      </c>
      <c r="B28" s="77">
        <v>2789.5</v>
      </c>
      <c r="C28" s="77">
        <v>5161.7</v>
      </c>
    </row>
    <row r="29" spans="1:3">
      <c r="A29" s="76">
        <v>1981</v>
      </c>
      <c r="B29" s="77">
        <v>3128.4</v>
      </c>
      <c r="C29" s="77">
        <v>5291.7</v>
      </c>
    </row>
    <row r="30" spans="1:3">
      <c r="A30" s="76">
        <v>1982</v>
      </c>
      <c r="B30" s="77">
        <v>3255</v>
      </c>
      <c r="C30" s="77">
        <v>5189.3</v>
      </c>
    </row>
    <row r="31" spans="1:3">
      <c r="A31" s="76">
        <v>1983</v>
      </c>
      <c r="B31" s="77">
        <v>3536.7</v>
      </c>
      <c r="C31" s="77">
        <v>5423.8</v>
      </c>
    </row>
    <row r="32" spans="1:3">
      <c r="A32" s="76">
        <v>1984</v>
      </c>
      <c r="B32" s="77">
        <v>3933.2</v>
      </c>
      <c r="C32" s="77">
        <v>5813.6</v>
      </c>
    </row>
    <row r="33" spans="1:3">
      <c r="A33" s="76">
        <v>1985</v>
      </c>
      <c r="B33" s="77">
        <v>4220.3</v>
      </c>
      <c r="C33" s="77">
        <v>6053.7</v>
      </c>
    </row>
    <row r="34" spans="1:3">
      <c r="A34" s="76">
        <v>1986</v>
      </c>
      <c r="B34" s="77">
        <v>4462.8</v>
      </c>
      <c r="C34" s="77">
        <v>6263.6</v>
      </c>
    </row>
    <row r="35" spans="1:3">
      <c r="A35" s="76">
        <v>1987</v>
      </c>
      <c r="B35" s="77">
        <v>4739.5</v>
      </c>
      <c r="C35" s="77">
        <v>6475.1</v>
      </c>
    </row>
    <row r="36" spans="1:3">
      <c r="A36" s="76">
        <v>1988</v>
      </c>
      <c r="B36" s="77">
        <v>5103.8</v>
      </c>
      <c r="C36" s="77">
        <v>6742.7</v>
      </c>
    </row>
    <row r="37" spans="1:3">
      <c r="A37" s="76">
        <v>1989</v>
      </c>
      <c r="B37" s="77">
        <v>5484.4</v>
      </c>
      <c r="C37" s="77">
        <v>6981.4</v>
      </c>
    </row>
    <row r="38" spans="1:3">
      <c r="A38" s="76">
        <v>1990</v>
      </c>
      <c r="B38" s="77">
        <v>5803.1</v>
      </c>
      <c r="C38" s="77">
        <v>7112.5</v>
      </c>
    </row>
    <row r="39" spans="1:3">
      <c r="A39" s="76">
        <v>1991</v>
      </c>
      <c r="B39" s="77">
        <v>5995.9</v>
      </c>
      <c r="C39" s="77">
        <v>7100.5</v>
      </c>
    </row>
    <row r="40" spans="1:3">
      <c r="A40" s="76">
        <v>1992</v>
      </c>
      <c r="B40" s="77">
        <v>6337.7</v>
      </c>
      <c r="C40" s="77">
        <v>7336.6</v>
      </c>
    </row>
    <row r="41" spans="1:3">
      <c r="A41" s="76">
        <v>1993</v>
      </c>
      <c r="B41" s="77">
        <v>6657.4</v>
      </c>
      <c r="C41" s="77">
        <v>7532.7</v>
      </c>
    </row>
    <row r="42" spans="1:3">
      <c r="A42" s="76">
        <v>1994</v>
      </c>
      <c r="B42" s="77">
        <v>7072.2</v>
      </c>
      <c r="C42" s="77">
        <v>7835.5</v>
      </c>
    </row>
    <row r="43" spans="1:3">
      <c r="A43" s="76">
        <v>1995</v>
      </c>
      <c r="B43" s="77">
        <v>7397.7</v>
      </c>
      <c r="C43" s="77">
        <v>8031.7</v>
      </c>
    </row>
    <row r="44" spans="1:3">
      <c r="A44" s="76">
        <v>1996</v>
      </c>
      <c r="B44" s="77">
        <v>7816.9</v>
      </c>
      <c r="C44" s="77">
        <v>8328.9</v>
      </c>
    </row>
    <row r="45" spans="1:3">
      <c r="A45" s="76">
        <v>1997</v>
      </c>
      <c r="B45" s="77">
        <v>8304.2999999999993</v>
      </c>
      <c r="C45" s="77">
        <v>8703.5</v>
      </c>
    </row>
    <row r="46" spans="1:3">
      <c r="A46" s="76">
        <v>1998</v>
      </c>
      <c r="B46" s="77">
        <v>8747</v>
      </c>
      <c r="C46" s="77">
        <v>9066.9</v>
      </c>
    </row>
    <row r="47" spans="1:3">
      <c r="A47" s="76">
        <v>1999</v>
      </c>
      <c r="B47" s="77">
        <v>9268.4</v>
      </c>
      <c r="C47" s="77">
        <v>9470.2999999999993</v>
      </c>
    </row>
    <row r="48" spans="1:3">
      <c r="A48" s="76">
        <v>2000</v>
      </c>
      <c r="B48" s="77">
        <v>9817</v>
      </c>
      <c r="C48" s="77">
        <v>9817</v>
      </c>
    </row>
    <row r="49" spans="1:3">
      <c r="A49" s="76">
        <v>2001</v>
      </c>
      <c r="B49" s="77">
        <v>10128</v>
      </c>
      <c r="C49" s="77">
        <v>9890.7000000000007</v>
      </c>
    </row>
    <row r="50" spans="1:3">
      <c r="A50" s="76">
        <v>2002</v>
      </c>
      <c r="B50" s="77">
        <v>10469.6</v>
      </c>
      <c r="C50" s="77">
        <v>10048.799999999999</v>
      </c>
    </row>
    <row r="51" spans="1:3">
      <c r="A51" s="76">
        <v>2003</v>
      </c>
      <c r="B51" s="77">
        <v>10960.8</v>
      </c>
      <c r="C51" s="77">
        <v>10301</v>
      </c>
    </row>
    <row r="52" spans="1:3">
      <c r="A52" s="76">
        <v>2004</v>
      </c>
      <c r="B52" s="77">
        <v>11712.5</v>
      </c>
      <c r="C52" s="77">
        <v>10703.5</v>
      </c>
    </row>
    <row r="53" spans="1:3">
      <c r="A53" s="76">
        <v>2005</v>
      </c>
      <c r="B53" s="77">
        <v>12455.8</v>
      </c>
      <c r="C53" s="77">
        <v>11048.6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F81A-87FA-4526-90F1-BA3359D8A973}">
  <dimension ref="A1:N59"/>
  <sheetViews>
    <sheetView workbookViewId="0">
      <selection activeCell="N41" sqref="N41"/>
    </sheetView>
  </sheetViews>
  <sheetFormatPr defaultRowHeight="15"/>
  <cols>
    <col min="10" max="10" width="53.140625" bestFit="1" customWidth="1"/>
  </cols>
  <sheetData>
    <row r="1" spans="1:14">
      <c r="A1" s="1" t="s">
        <v>0</v>
      </c>
      <c r="B1" s="1"/>
      <c r="C1" s="1"/>
      <c r="D1" s="1"/>
      <c r="E1" s="1"/>
      <c r="J1" t="s">
        <v>0</v>
      </c>
    </row>
    <row r="2" spans="1:14">
      <c r="A2" s="1" t="s">
        <v>1</v>
      </c>
      <c r="B2" s="1"/>
      <c r="C2" s="1"/>
      <c r="D2" s="1"/>
      <c r="E2" s="1"/>
      <c r="J2" t="s">
        <v>1353</v>
      </c>
    </row>
    <row r="3" spans="1:14">
      <c r="A3" s="1" t="s">
        <v>2</v>
      </c>
      <c r="B3" s="1"/>
      <c r="C3" s="1"/>
      <c r="D3" s="1"/>
      <c r="E3" s="1"/>
      <c r="J3" t="s">
        <v>1354</v>
      </c>
    </row>
    <row r="4" spans="1:14">
      <c r="A4" s="1" t="s">
        <v>3</v>
      </c>
      <c r="B4" s="1"/>
      <c r="C4" s="1"/>
      <c r="D4" s="1"/>
      <c r="E4" s="1"/>
      <c r="J4" t="s">
        <v>1355</v>
      </c>
    </row>
    <row r="5" spans="1:14">
      <c r="A5" s="1" t="s">
        <v>4</v>
      </c>
      <c r="B5" s="1"/>
      <c r="C5" s="1"/>
      <c r="D5" s="1"/>
      <c r="E5" s="1"/>
      <c r="J5" t="s">
        <v>1356</v>
      </c>
    </row>
    <row r="6" spans="1:14">
      <c r="A6" s="1" t="s">
        <v>5</v>
      </c>
      <c r="B6" s="1"/>
      <c r="C6" s="1"/>
      <c r="D6" s="1"/>
      <c r="E6" s="1"/>
      <c r="J6" t="s">
        <v>1357</v>
      </c>
    </row>
    <row r="7" spans="1:14">
      <c r="A7" s="1" t="s">
        <v>6</v>
      </c>
      <c r="B7" s="1"/>
      <c r="C7" s="1"/>
      <c r="D7" s="1"/>
      <c r="E7" s="1"/>
      <c r="J7" t="s">
        <v>1358</v>
      </c>
    </row>
    <row r="9" spans="1:14">
      <c r="A9" s="1" t="s">
        <v>7</v>
      </c>
      <c r="B9" s="1" t="s">
        <v>8</v>
      </c>
      <c r="C9" s="1" t="s">
        <v>9</v>
      </c>
      <c r="D9" s="1" t="s">
        <v>10</v>
      </c>
      <c r="E9" s="1" t="s">
        <v>11</v>
      </c>
      <c r="J9" s="39" t="s">
        <v>7</v>
      </c>
      <c r="K9" s="39" t="s">
        <v>8</v>
      </c>
      <c r="L9" s="39" t="s">
        <v>9</v>
      </c>
      <c r="M9" s="39" t="s">
        <v>10</v>
      </c>
      <c r="N9" s="39" t="s">
        <v>11</v>
      </c>
    </row>
    <row r="10" spans="1:14">
      <c r="A10" s="1" t="s">
        <v>12</v>
      </c>
      <c r="B10" s="1">
        <v>2206</v>
      </c>
      <c r="C10" s="1">
        <v>2186</v>
      </c>
      <c r="D10" s="1">
        <v>92.7</v>
      </c>
      <c r="E10" s="1">
        <v>91.4</v>
      </c>
      <c r="J10" t="s">
        <v>1359</v>
      </c>
      <c r="K10">
        <v>42</v>
      </c>
      <c r="L10">
        <v>51.02</v>
      </c>
      <c r="M10">
        <v>189</v>
      </c>
      <c r="N10">
        <v>235</v>
      </c>
    </row>
    <row r="11" spans="1:14">
      <c r="A11" s="1" t="s">
        <v>13</v>
      </c>
      <c r="B11" s="1">
        <v>0.7</v>
      </c>
      <c r="C11" s="1">
        <v>0.7</v>
      </c>
      <c r="D11" s="1">
        <v>151</v>
      </c>
      <c r="E11" s="1">
        <v>149</v>
      </c>
      <c r="J11" t="s">
        <v>1360</v>
      </c>
      <c r="K11">
        <v>21.17</v>
      </c>
      <c r="L11">
        <v>23.35</v>
      </c>
      <c r="M11">
        <v>422911</v>
      </c>
      <c r="N11">
        <v>487449</v>
      </c>
    </row>
    <row r="12" spans="1:14">
      <c r="A12" s="1" t="s">
        <v>14</v>
      </c>
      <c r="B12" s="1">
        <v>73</v>
      </c>
      <c r="C12" s="1">
        <v>74</v>
      </c>
      <c r="D12" s="1">
        <v>61</v>
      </c>
      <c r="E12" s="1">
        <v>56</v>
      </c>
      <c r="J12" t="s">
        <v>1361</v>
      </c>
      <c r="K12">
        <v>27.44</v>
      </c>
      <c r="L12">
        <v>29.1</v>
      </c>
      <c r="M12">
        <v>42729</v>
      </c>
      <c r="N12">
        <v>54440</v>
      </c>
    </row>
    <row r="13" spans="1:14">
      <c r="A13" s="1" t="s">
        <v>15</v>
      </c>
      <c r="B13" s="1">
        <v>3620</v>
      </c>
      <c r="C13" s="1">
        <v>3737</v>
      </c>
      <c r="D13" s="1">
        <v>86.3</v>
      </c>
      <c r="E13" s="1">
        <v>91.8</v>
      </c>
      <c r="J13" t="s">
        <v>1362</v>
      </c>
      <c r="K13">
        <v>35.1</v>
      </c>
      <c r="L13">
        <v>46.99</v>
      </c>
      <c r="M13">
        <v>22891</v>
      </c>
      <c r="N13">
        <v>29038</v>
      </c>
    </row>
    <row r="14" spans="1:14">
      <c r="A14" s="1" t="s">
        <v>16</v>
      </c>
      <c r="B14" s="1">
        <v>7472</v>
      </c>
      <c r="C14" s="1">
        <v>7444</v>
      </c>
      <c r="D14" s="1">
        <v>63.4</v>
      </c>
      <c r="E14" s="1">
        <v>58.4</v>
      </c>
      <c r="J14" t="s">
        <v>1363</v>
      </c>
      <c r="K14">
        <v>40.520000000000003</v>
      </c>
      <c r="L14">
        <v>49.89</v>
      </c>
      <c r="M14">
        <v>6073</v>
      </c>
      <c r="N14">
        <v>5989</v>
      </c>
    </row>
    <row r="15" spans="1:14">
      <c r="A15" s="1" t="s">
        <v>17</v>
      </c>
      <c r="B15" s="1">
        <v>788</v>
      </c>
      <c r="C15" s="1">
        <v>873</v>
      </c>
      <c r="D15" s="1">
        <v>77.8</v>
      </c>
      <c r="E15" s="1">
        <v>73</v>
      </c>
      <c r="J15" t="s">
        <v>1364</v>
      </c>
      <c r="K15">
        <v>49.02</v>
      </c>
      <c r="L15">
        <v>60.21</v>
      </c>
      <c r="M15">
        <v>86925</v>
      </c>
      <c r="N15">
        <v>91071</v>
      </c>
    </row>
    <row r="16" spans="1:14">
      <c r="A16" s="1" t="s">
        <v>18</v>
      </c>
      <c r="B16" s="1">
        <v>1029</v>
      </c>
      <c r="C16" s="1">
        <v>948</v>
      </c>
      <c r="D16" s="1">
        <v>106</v>
      </c>
      <c r="E16" s="1">
        <v>104</v>
      </c>
      <c r="J16" t="s">
        <v>1365</v>
      </c>
      <c r="K16">
        <v>62.05</v>
      </c>
      <c r="L16">
        <v>91.08</v>
      </c>
      <c r="M16">
        <v>32779</v>
      </c>
      <c r="N16">
        <v>41403</v>
      </c>
    </row>
    <row r="17" spans="1:14">
      <c r="A17" s="1" t="s">
        <v>19</v>
      </c>
      <c r="B17" s="1">
        <v>168</v>
      </c>
      <c r="C17" s="1">
        <v>164</v>
      </c>
      <c r="D17" s="1">
        <v>117</v>
      </c>
      <c r="E17" s="1">
        <v>113</v>
      </c>
      <c r="J17" t="s">
        <v>1366</v>
      </c>
      <c r="K17">
        <v>45.05</v>
      </c>
      <c r="L17">
        <v>43.91</v>
      </c>
      <c r="M17">
        <v>29381</v>
      </c>
      <c r="N17">
        <v>34970</v>
      </c>
    </row>
    <row r="18" spans="1:14">
      <c r="A18" s="1" t="s">
        <v>20</v>
      </c>
      <c r="B18" s="1">
        <v>2568</v>
      </c>
      <c r="C18" s="1">
        <v>2537</v>
      </c>
      <c r="D18" s="1">
        <v>62</v>
      </c>
      <c r="E18" s="1">
        <v>57.2</v>
      </c>
      <c r="J18" t="s">
        <v>1367</v>
      </c>
      <c r="K18">
        <v>30.29</v>
      </c>
      <c r="L18">
        <v>31.38</v>
      </c>
      <c r="M18">
        <v>50572</v>
      </c>
      <c r="N18">
        <v>52452</v>
      </c>
    </row>
    <row r="19" spans="1:14">
      <c r="A19" s="1" t="s">
        <v>21</v>
      </c>
      <c r="B19" s="1">
        <v>4302</v>
      </c>
      <c r="C19" s="1">
        <v>4301</v>
      </c>
      <c r="D19" s="1">
        <v>80.599999999999994</v>
      </c>
      <c r="E19" s="1">
        <v>80.8</v>
      </c>
      <c r="J19" t="s">
        <v>1368</v>
      </c>
      <c r="K19">
        <v>50.17</v>
      </c>
      <c r="L19">
        <v>67.89</v>
      </c>
      <c r="M19">
        <v>33052</v>
      </c>
      <c r="N19">
        <v>36531</v>
      </c>
    </row>
    <row r="20" spans="1:14">
      <c r="A20" s="1" t="s">
        <v>22</v>
      </c>
      <c r="B20" s="1">
        <v>227.5</v>
      </c>
      <c r="C20" s="1">
        <v>224.5</v>
      </c>
      <c r="D20" s="1">
        <v>85</v>
      </c>
      <c r="E20" s="1">
        <v>85.5</v>
      </c>
      <c r="J20" t="s">
        <v>1369</v>
      </c>
      <c r="K20">
        <v>56.21</v>
      </c>
      <c r="L20">
        <v>58.3</v>
      </c>
      <c r="M20">
        <v>528857</v>
      </c>
      <c r="N20">
        <v>593380</v>
      </c>
    </row>
    <row r="21" spans="1:14">
      <c r="A21" s="1" t="s">
        <v>23</v>
      </c>
      <c r="B21" s="1">
        <v>187</v>
      </c>
      <c r="C21" s="1">
        <v>203</v>
      </c>
      <c r="D21" s="1">
        <v>79.099999999999994</v>
      </c>
      <c r="E21" s="1">
        <v>72.900000000000006</v>
      </c>
      <c r="J21" t="s">
        <v>1370</v>
      </c>
      <c r="K21">
        <v>31.15</v>
      </c>
      <c r="L21">
        <v>38.25</v>
      </c>
      <c r="M21">
        <v>253746</v>
      </c>
      <c r="N21">
        <v>273749</v>
      </c>
    </row>
    <row r="22" spans="1:14">
      <c r="A22" s="1" t="s">
        <v>24</v>
      </c>
      <c r="B22" s="1">
        <v>793</v>
      </c>
      <c r="C22" s="1">
        <v>809</v>
      </c>
      <c r="D22" s="1">
        <v>65</v>
      </c>
      <c r="E22" s="1">
        <v>70.5</v>
      </c>
      <c r="J22" t="s">
        <v>1371</v>
      </c>
      <c r="K22">
        <v>45.78</v>
      </c>
      <c r="L22">
        <v>50.04</v>
      </c>
      <c r="M22">
        <v>39593</v>
      </c>
      <c r="N22">
        <v>51202</v>
      </c>
    </row>
    <row r="23" spans="1:14">
      <c r="A23" s="1" t="s">
        <v>25</v>
      </c>
      <c r="B23" s="1">
        <v>5445</v>
      </c>
      <c r="C23" s="1">
        <v>5290</v>
      </c>
      <c r="D23" s="1">
        <v>62.7</v>
      </c>
      <c r="E23" s="1">
        <v>60.1</v>
      </c>
      <c r="J23" t="s">
        <v>1372</v>
      </c>
      <c r="K23">
        <v>38.44</v>
      </c>
      <c r="L23">
        <v>29.96</v>
      </c>
      <c r="M23">
        <v>19402</v>
      </c>
      <c r="N23">
        <v>21500</v>
      </c>
    </row>
    <row r="24" spans="1:14">
      <c r="A24" s="1" t="s">
        <v>26</v>
      </c>
      <c r="B24" s="1">
        <v>2151</v>
      </c>
      <c r="C24" s="1">
        <v>2247</v>
      </c>
      <c r="D24" s="1">
        <v>56.5</v>
      </c>
      <c r="E24" s="1">
        <v>53</v>
      </c>
      <c r="J24" t="s">
        <v>1373</v>
      </c>
      <c r="K24">
        <v>51.33</v>
      </c>
      <c r="L24">
        <v>48.24</v>
      </c>
      <c r="M24">
        <v>181976</v>
      </c>
      <c r="N24">
        <v>171027</v>
      </c>
    </row>
    <row r="25" spans="1:14">
      <c r="A25" s="1" t="s">
        <v>27</v>
      </c>
      <c r="B25" s="1">
        <v>404</v>
      </c>
      <c r="C25" s="1">
        <v>389</v>
      </c>
      <c r="D25" s="1">
        <v>54.5</v>
      </c>
      <c r="E25" s="1">
        <v>47.8</v>
      </c>
      <c r="J25" t="s">
        <v>1374</v>
      </c>
      <c r="K25">
        <v>32.450000000000003</v>
      </c>
      <c r="L25">
        <v>37.76</v>
      </c>
      <c r="M25">
        <v>383165</v>
      </c>
      <c r="N25">
        <v>425350</v>
      </c>
    </row>
    <row r="26" spans="1:14">
      <c r="A26" s="1" t="s">
        <v>28</v>
      </c>
      <c r="B26" s="1">
        <v>412</v>
      </c>
      <c r="C26" s="1">
        <v>483</v>
      </c>
      <c r="D26" s="1">
        <v>67.7</v>
      </c>
      <c r="E26" s="1">
        <v>73.5</v>
      </c>
      <c r="J26" t="s">
        <v>1375</v>
      </c>
      <c r="K26">
        <v>18</v>
      </c>
      <c r="L26">
        <v>21.42</v>
      </c>
      <c r="M26">
        <v>133235</v>
      </c>
      <c r="N26">
        <v>157616</v>
      </c>
    </row>
    <row r="27" spans="1:14">
      <c r="A27" s="1" t="s">
        <v>29</v>
      </c>
      <c r="B27" s="1">
        <v>273</v>
      </c>
      <c r="C27" s="1">
        <v>254</v>
      </c>
      <c r="D27" s="1">
        <v>115</v>
      </c>
      <c r="E27" s="1">
        <v>115</v>
      </c>
      <c r="J27" t="s">
        <v>1376</v>
      </c>
      <c r="K27">
        <v>40.57</v>
      </c>
      <c r="L27">
        <v>44.66</v>
      </c>
      <c r="M27">
        <v>123661</v>
      </c>
      <c r="N27">
        <v>144693</v>
      </c>
    </row>
    <row r="28" spans="1:14">
      <c r="A28" s="1" t="s">
        <v>30</v>
      </c>
      <c r="B28" s="1">
        <v>1069</v>
      </c>
      <c r="C28" s="1">
        <v>1070</v>
      </c>
      <c r="D28" s="1">
        <v>101</v>
      </c>
      <c r="E28" s="1">
        <v>97</v>
      </c>
      <c r="J28" t="s">
        <v>1377</v>
      </c>
      <c r="K28">
        <v>54.55</v>
      </c>
      <c r="L28">
        <v>58.03</v>
      </c>
      <c r="M28">
        <v>846112</v>
      </c>
      <c r="N28">
        <v>972674</v>
      </c>
    </row>
    <row r="29" spans="1:14">
      <c r="A29" s="1" t="s">
        <v>31</v>
      </c>
      <c r="B29" s="1">
        <v>885</v>
      </c>
      <c r="C29" s="1">
        <v>898</v>
      </c>
      <c r="D29" s="1">
        <v>76.599999999999994</v>
      </c>
      <c r="E29" s="1">
        <v>75.400000000000006</v>
      </c>
      <c r="J29" t="s">
        <v>1378</v>
      </c>
      <c r="K29">
        <v>2.39</v>
      </c>
      <c r="L29">
        <v>2.9</v>
      </c>
      <c r="M29">
        <v>569</v>
      </c>
      <c r="N29">
        <v>609</v>
      </c>
    </row>
    <row r="30" spans="1:14">
      <c r="A30" s="1" t="s">
        <v>32</v>
      </c>
      <c r="B30" s="1">
        <v>235</v>
      </c>
      <c r="C30" s="1">
        <v>237</v>
      </c>
      <c r="D30" s="1">
        <v>105</v>
      </c>
      <c r="E30" s="1">
        <v>102</v>
      </c>
      <c r="J30" t="s">
        <v>1379</v>
      </c>
      <c r="K30">
        <v>37.49</v>
      </c>
      <c r="L30">
        <v>42.04</v>
      </c>
      <c r="M30">
        <v>2950</v>
      </c>
      <c r="N30">
        <v>3144</v>
      </c>
    </row>
    <row r="31" spans="1:14">
      <c r="A31" s="1" t="s">
        <v>33</v>
      </c>
      <c r="B31" s="1">
        <v>1406</v>
      </c>
      <c r="C31" s="1">
        <v>1396</v>
      </c>
      <c r="D31" s="1">
        <v>58</v>
      </c>
      <c r="E31" s="1">
        <v>53.8</v>
      </c>
      <c r="J31" t="s">
        <v>1380</v>
      </c>
      <c r="K31">
        <v>5.46</v>
      </c>
      <c r="L31">
        <v>5.19</v>
      </c>
      <c r="M31">
        <v>501</v>
      </c>
      <c r="N31">
        <v>483</v>
      </c>
    </row>
    <row r="32" spans="1:14">
      <c r="A32" s="1" t="s">
        <v>34</v>
      </c>
      <c r="B32" s="1">
        <v>2499</v>
      </c>
      <c r="C32" s="1">
        <v>2697</v>
      </c>
      <c r="D32" s="1">
        <v>57.7</v>
      </c>
      <c r="E32" s="1">
        <v>54</v>
      </c>
      <c r="J32" t="s">
        <v>1381</v>
      </c>
      <c r="K32">
        <v>33.049999999999997</v>
      </c>
      <c r="L32">
        <v>39.78</v>
      </c>
      <c r="M32">
        <v>129957</v>
      </c>
      <c r="N32">
        <v>173653</v>
      </c>
    </row>
    <row r="33" spans="1:14">
      <c r="A33" s="1" t="s">
        <v>35</v>
      </c>
      <c r="B33" s="1">
        <v>1434</v>
      </c>
      <c r="C33" s="1">
        <v>1468</v>
      </c>
      <c r="D33" s="1">
        <v>87.8</v>
      </c>
      <c r="E33" s="1">
        <v>86.7</v>
      </c>
      <c r="J33" t="s">
        <v>1382</v>
      </c>
      <c r="K33">
        <v>39.58</v>
      </c>
      <c r="L33">
        <v>36.99</v>
      </c>
      <c r="M33">
        <v>24060</v>
      </c>
      <c r="N33">
        <v>25369</v>
      </c>
    </row>
    <row r="34" spans="1:14">
      <c r="A34" s="1" t="s">
        <v>36</v>
      </c>
      <c r="B34" s="1">
        <v>1580</v>
      </c>
      <c r="C34" s="1">
        <v>1622</v>
      </c>
      <c r="D34" s="1">
        <v>55.4</v>
      </c>
      <c r="E34" s="1">
        <v>51.5</v>
      </c>
      <c r="J34" t="s">
        <v>1383</v>
      </c>
      <c r="K34">
        <v>22.09</v>
      </c>
      <c r="L34">
        <v>24.45</v>
      </c>
      <c r="M34">
        <v>216337</v>
      </c>
      <c r="N34">
        <v>231594</v>
      </c>
    </row>
    <row r="35" spans="1:14">
      <c r="A35" s="1" t="s">
        <v>37</v>
      </c>
      <c r="B35" s="1">
        <v>172</v>
      </c>
      <c r="C35" s="1">
        <v>164</v>
      </c>
      <c r="D35" s="1">
        <v>68</v>
      </c>
      <c r="E35" s="1">
        <v>66</v>
      </c>
      <c r="J35" t="s">
        <v>1384</v>
      </c>
      <c r="K35">
        <v>27.51</v>
      </c>
      <c r="L35">
        <v>32.86</v>
      </c>
      <c r="M35">
        <v>138032</v>
      </c>
      <c r="N35">
        <v>160873</v>
      </c>
    </row>
    <row r="36" spans="1:14">
      <c r="A36" s="1" t="s">
        <v>38</v>
      </c>
      <c r="B36" s="1">
        <v>1202</v>
      </c>
      <c r="C36" s="1">
        <v>1400</v>
      </c>
      <c r="D36" s="1">
        <v>50.3</v>
      </c>
      <c r="E36" s="1">
        <v>48.9</v>
      </c>
      <c r="J36" t="s">
        <v>1385</v>
      </c>
      <c r="K36">
        <v>20.68</v>
      </c>
      <c r="L36">
        <v>20.66</v>
      </c>
      <c r="M36">
        <v>644041</v>
      </c>
      <c r="N36">
        <v>850633</v>
      </c>
    </row>
    <row r="37" spans="1:14">
      <c r="A37" s="1" t="s">
        <v>39</v>
      </c>
      <c r="B37" s="1">
        <v>2.2000000000000002</v>
      </c>
      <c r="C37" s="1">
        <v>1.8</v>
      </c>
      <c r="D37" s="1">
        <v>53.9</v>
      </c>
      <c r="E37" s="1">
        <v>52.7</v>
      </c>
      <c r="J37" t="s">
        <v>1386</v>
      </c>
      <c r="K37">
        <v>3.7</v>
      </c>
      <c r="L37">
        <v>3.2</v>
      </c>
      <c r="M37">
        <v>3579</v>
      </c>
      <c r="N37">
        <v>4474</v>
      </c>
    </row>
    <row r="38" spans="1:14">
      <c r="A38" s="1" t="s">
        <v>40</v>
      </c>
      <c r="B38" s="1">
        <v>43</v>
      </c>
      <c r="C38" s="1">
        <v>49</v>
      </c>
      <c r="D38" s="1">
        <v>109</v>
      </c>
      <c r="E38" s="1">
        <v>104</v>
      </c>
      <c r="J38" t="s">
        <v>1387</v>
      </c>
      <c r="K38">
        <v>32.869999999999997</v>
      </c>
      <c r="L38">
        <v>34.869999999999997</v>
      </c>
      <c r="M38">
        <v>324673</v>
      </c>
      <c r="N38">
        <v>359075</v>
      </c>
    </row>
    <row r="39" spans="1:14">
      <c r="A39" s="1" t="s">
        <v>41</v>
      </c>
      <c r="B39" s="1">
        <v>442</v>
      </c>
      <c r="C39" s="1">
        <v>491</v>
      </c>
      <c r="D39" s="1">
        <v>85</v>
      </c>
      <c r="E39" s="1">
        <v>83</v>
      </c>
      <c r="J39" t="s">
        <v>1388</v>
      </c>
      <c r="K39">
        <v>33.85</v>
      </c>
      <c r="L39">
        <v>47.97</v>
      </c>
      <c r="M39">
        <v>70785</v>
      </c>
      <c r="N39">
        <v>179307</v>
      </c>
    </row>
    <row r="40" spans="1:14">
      <c r="A40" s="1" t="s">
        <v>42</v>
      </c>
      <c r="B40" s="1">
        <v>283</v>
      </c>
      <c r="C40" s="1">
        <v>302</v>
      </c>
      <c r="D40" s="1">
        <v>74</v>
      </c>
      <c r="E40" s="1">
        <v>70</v>
      </c>
      <c r="J40" t="s">
        <v>1389</v>
      </c>
      <c r="K40">
        <v>25.98</v>
      </c>
      <c r="L40">
        <v>31.52</v>
      </c>
      <c r="M40">
        <v>310289</v>
      </c>
      <c r="N40">
        <v>343201</v>
      </c>
    </row>
    <row r="41" spans="1:14">
      <c r="A41" s="1" t="s">
        <v>43</v>
      </c>
      <c r="B41" s="1">
        <v>975</v>
      </c>
      <c r="C41" s="1">
        <v>987</v>
      </c>
      <c r="D41" s="1">
        <v>68.099999999999994</v>
      </c>
      <c r="E41" s="1">
        <v>64</v>
      </c>
    </row>
    <row r="42" spans="1:14">
      <c r="A42" s="1" t="s">
        <v>44</v>
      </c>
      <c r="B42" s="1">
        <v>3033</v>
      </c>
      <c r="C42" s="1">
        <v>3045</v>
      </c>
      <c r="D42" s="1">
        <v>82.8</v>
      </c>
      <c r="E42" s="1">
        <v>78.7</v>
      </c>
    </row>
    <row r="43" spans="1:14">
      <c r="A43" s="1" t="s">
        <v>45</v>
      </c>
      <c r="B43" s="1">
        <v>51</v>
      </c>
      <c r="C43" s="1">
        <v>45</v>
      </c>
      <c r="D43" s="1">
        <v>55.2</v>
      </c>
      <c r="E43" s="1">
        <v>48</v>
      </c>
    </row>
    <row r="44" spans="1:14">
      <c r="A44" s="1" t="s">
        <v>46</v>
      </c>
      <c r="B44" s="1">
        <v>4667</v>
      </c>
      <c r="C44" s="1">
        <v>4637</v>
      </c>
      <c r="D44" s="1">
        <v>59.1</v>
      </c>
      <c r="E44" s="1">
        <v>54.7</v>
      </c>
    </row>
    <row r="45" spans="1:14">
      <c r="A45" s="1" t="s">
        <v>47</v>
      </c>
      <c r="B45" s="1">
        <v>869</v>
      </c>
      <c r="C45" s="1">
        <v>830</v>
      </c>
      <c r="D45" s="1">
        <v>101</v>
      </c>
      <c r="E45" s="1">
        <v>100</v>
      </c>
    </row>
    <row r="46" spans="1:14">
      <c r="A46" s="1" t="s">
        <v>48</v>
      </c>
      <c r="B46" s="1">
        <v>652</v>
      </c>
      <c r="C46" s="1">
        <v>686</v>
      </c>
      <c r="D46" s="1">
        <v>77</v>
      </c>
      <c r="E46" s="1">
        <v>74.599999999999994</v>
      </c>
    </row>
    <row r="47" spans="1:14">
      <c r="A47" s="1" t="s">
        <v>49</v>
      </c>
      <c r="B47" s="1">
        <v>4976</v>
      </c>
      <c r="C47" s="1">
        <v>5130</v>
      </c>
      <c r="D47" s="1">
        <v>61</v>
      </c>
      <c r="E47" s="1">
        <v>52</v>
      </c>
    </row>
    <row r="48" spans="1:14">
      <c r="A48" s="1" t="s">
        <v>50</v>
      </c>
      <c r="B48" s="1">
        <v>53</v>
      </c>
      <c r="C48" s="1">
        <v>50</v>
      </c>
      <c r="D48" s="1">
        <v>102</v>
      </c>
      <c r="E48" s="1">
        <v>99</v>
      </c>
    </row>
    <row r="49" spans="1:5">
      <c r="A49" s="1" t="s">
        <v>51</v>
      </c>
      <c r="B49" s="1">
        <v>1422</v>
      </c>
      <c r="C49" s="1">
        <v>1420</v>
      </c>
      <c r="D49" s="1">
        <v>70.099999999999994</v>
      </c>
      <c r="E49" s="1">
        <v>65.900000000000006</v>
      </c>
    </row>
    <row r="50" spans="1:5">
      <c r="A50" s="1" t="s">
        <v>52</v>
      </c>
      <c r="B50" s="1">
        <v>435</v>
      </c>
      <c r="C50" s="1">
        <v>602</v>
      </c>
      <c r="D50" s="1">
        <v>48</v>
      </c>
      <c r="E50" s="1">
        <v>45.8</v>
      </c>
    </row>
    <row r="51" spans="1:5">
      <c r="A51" s="1" t="s">
        <v>53</v>
      </c>
      <c r="B51" s="1">
        <v>277</v>
      </c>
      <c r="C51" s="1">
        <v>279</v>
      </c>
      <c r="D51" s="1">
        <v>71</v>
      </c>
      <c r="E51" s="1">
        <v>80.7</v>
      </c>
    </row>
    <row r="52" spans="1:5">
      <c r="A52" s="1" t="s">
        <v>54</v>
      </c>
      <c r="B52" s="1">
        <v>3317</v>
      </c>
      <c r="C52" s="1">
        <v>3356</v>
      </c>
      <c r="D52" s="1">
        <v>76.7</v>
      </c>
      <c r="E52" s="1">
        <v>72.599999999999994</v>
      </c>
    </row>
    <row r="53" spans="1:5">
      <c r="A53" s="1" t="s">
        <v>55</v>
      </c>
      <c r="B53" s="1">
        <v>456</v>
      </c>
      <c r="C53" s="1">
        <v>486</v>
      </c>
      <c r="D53" s="1">
        <v>64</v>
      </c>
      <c r="E53" s="1">
        <v>59</v>
      </c>
    </row>
    <row r="54" spans="1:5">
      <c r="A54" s="1" t="s">
        <v>56</v>
      </c>
      <c r="B54" s="1">
        <v>31</v>
      </c>
      <c r="C54" s="1">
        <v>30</v>
      </c>
      <c r="D54" s="1">
        <v>106</v>
      </c>
      <c r="E54" s="1">
        <v>102</v>
      </c>
    </row>
    <row r="55" spans="1:5">
      <c r="A55" s="1" t="s">
        <v>57</v>
      </c>
      <c r="B55" s="1">
        <v>934</v>
      </c>
      <c r="C55" s="1">
        <v>988</v>
      </c>
      <c r="D55" s="1">
        <v>86.3</v>
      </c>
      <c r="E55" s="1">
        <v>81.2</v>
      </c>
    </row>
    <row r="56" spans="1:5">
      <c r="A56" s="1" t="s">
        <v>58</v>
      </c>
      <c r="B56" s="1">
        <v>1287</v>
      </c>
      <c r="C56" s="1">
        <v>1313</v>
      </c>
      <c r="D56" s="1">
        <v>74.099999999999994</v>
      </c>
      <c r="E56" s="1">
        <v>71.5</v>
      </c>
    </row>
    <row r="57" spans="1:5">
      <c r="A57" s="1" t="s">
        <v>59</v>
      </c>
      <c r="B57" s="1">
        <v>136</v>
      </c>
      <c r="C57" s="1">
        <v>174</v>
      </c>
      <c r="D57" s="1">
        <v>104</v>
      </c>
      <c r="E57" s="1">
        <v>109</v>
      </c>
    </row>
    <row r="58" spans="1:5">
      <c r="A58" s="1" t="s">
        <v>60</v>
      </c>
      <c r="B58" s="1">
        <v>910</v>
      </c>
      <c r="C58" s="1">
        <v>873</v>
      </c>
      <c r="D58" s="1">
        <v>60.1</v>
      </c>
      <c r="E58" s="1">
        <v>54</v>
      </c>
    </row>
    <row r="59" spans="1:5">
      <c r="A59" s="1" t="s">
        <v>61</v>
      </c>
      <c r="B59" s="1">
        <v>1.7</v>
      </c>
      <c r="C59" s="1">
        <v>1.7</v>
      </c>
      <c r="D59" s="1">
        <v>83</v>
      </c>
      <c r="E59" s="1">
        <v>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201A5-C36C-40BC-9C79-F7B541FEE9C4}">
  <dimension ref="A1:B56"/>
  <sheetViews>
    <sheetView topLeftCell="A35" workbookViewId="0">
      <selection activeCell="A5" sqref="A5:B56"/>
    </sheetView>
  </sheetViews>
  <sheetFormatPr defaultRowHeight="15"/>
  <sheetData>
    <row r="1" spans="1:2">
      <c r="A1" s="78" t="s">
        <v>210</v>
      </c>
      <c r="B1" s="78"/>
    </row>
    <row r="2" spans="1:2">
      <c r="A2" s="78" t="s">
        <v>211</v>
      </c>
      <c r="B2" s="78"/>
    </row>
    <row r="3" spans="1:2">
      <c r="A3" s="78" t="s">
        <v>212</v>
      </c>
      <c r="B3" s="78"/>
    </row>
    <row r="5" spans="1:2">
      <c r="A5" s="78" t="s">
        <v>213</v>
      </c>
      <c r="B5" s="78" t="s">
        <v>214</v>
      </c>
    </row>
    <row r="6" spans="1:2">
      <c r="A6" s="78">
        <v>19583</v>
      </c>
      <c r="B6" s="78">
        <v>3346</v>
      </c>
    </row>
    <row r="7" spans="1:2">
      <c r="A7" s="78">
        <v>20263</v>
      </c>
      <c r="B7" s="78">
        <v>3114</v>
      </c>
    </row>
    <row r="8" spans="1:2">
      <c r="A8" s="78">
        <v>20325</v>
      </c>
      <c r="B8" s="78">
        <v>3554</v>
      </c>
    </row>
    <row r="9" spans="1:2">
      <c r="A9" s="78">
        <v>26800</v>
      </c>
      <c r="B9" s="78">
        <v>4642</v>
      </c>
    </row>
    <row r="10" spans="1:2">
      <c r="A10" s="78">
        <v>29470</v>
      </c>
      <c r="B10" s="78">
        <v>4669</v>
      </c>
    </row>
    <row r="11" spans="1:2">
      <c r="A11" s="78">
        <v>26610</v>
      </c>
      <c r="B11" s="78">
        <v>4888</v>
      </c>
    </row>
    <row r="12" spans="1:2">
      <c r="A12" s="78">
        <v>30678</v>
      </c>
      <c r="B12" s="78">
        <v>5710</v>
      </c>
    </row>
    <row r="13" spans="1:2">
      <c r="A13" s="78">
        <v>27170</v>
      </c>
      <c r="B13" s="78">
        <v>5536</v>
      </c>
    </row>
    <row r="14" spans="1:2">
      <c r="A14" s="78">
        <v>25853</v>
      </c>
      <c r="B14" s="78">
        <v>4168</v>
      </c>
    </row>
    <row r="15" spans="1:2">
      <c r="A15" s="78">
        <v>24500</v>
      </c>
      <c r="B15" s="78">
        <v>3547</v>
      </c>
    </row>
    <row r="16" spans="1:2">
      <c r="A16" s="78">
        <v>24274</v>
      </c>
      <c r="B16" s="78">
        <v>3159</v>
      </c>
    </row>
    <row r="17" spans="1:2">
      <c r="A17" s="78">
        <v>27170</v>
      </c>
      <c r="B17" s="78">
        <v>3621</v>
      </c>
    </row>
    <row r="18" spans="1:2">
      <c r="A18" s="78">
        <v>30168</v>
      </c>
      <c r="B18" s="78">
        <v>3782</v>
      </c>
    </row>
    <row r="19" spans="1:2">
      <c r="A19" s="78">
        <v>26525</v>
      </c>
      <c r="B19" s="78">
        <v>4247</v>
      </c>
    </row>
    <row r="20" spans="1:2">
      <c r="A20" s="78">
        <v>27360</v>
      </c>
      <c r="B20" s="78">
        <v>3982</v>
      </c>
    </row>
    <row r="21" spans="1:2">
      <c r="A21" s="78">
        <v>21690</v>
      </c>
      <c r="B21" s="78">
        <v>3568</v>
      </c>
    </row>
    <row r="22" spans="1:2">
      <c r="A22" s="78">
        <v>21974</v>
      </c>
      <c r="B22" s="78">
        <v>3155</v>
      </c>
    </row>
    <row r="23" spans="1:2">
      <c r="A23" s="78">
        <v>20816</v>
      </c>
      <c r="B23" s="78">
        <v>3059</v>
      </c>
    </row>
    <row r="24" spans="1:2">
      <c r="A24" s="78">
        <v>18095</v>
      </c>
      <c r="B24" s="78">
        <v>2967</v>
      </c>
    </row>
    <row r="25" spans="1:2">
      <c r="A25" s="78">
        <v>20939</v>
      </c>
      <c r="B25" s="78">
        <v>3285</v>
      </c>
    </row>
    <row r="26" spans="1:2">
      <c r="A26" s="78">
        <v>22644</v>
      </c>
      <c r="B26" s="78">
        <v>3914</v>
      </c>
    </row>
    <row r="27" spans="1:2">
      <c r="A27" s="78">
        <v>24624</v>
      </c>
      <c r="B27" s="78">
        <v>4517</v>
      </c>
    </row>
    <row r="28" spans="1:2">
      <c r="A28" s="78">
        <v>27186</v>
      </c>
      <c r="B28" s="78">
        <v>4349</v>
      </c>
    </row>
    <row r="29" spans="1:2">
      <c r="A29" s="78">
        <v>33990</v>
      </c>
      <c r="B29" s="78">
        <v>5020</v>
      </c>
    </row>
    <row r="30" spans="1:2">
      <c r="A30" s="78">
        <v>23382</v>
      </c>
      <c r="B30" s="78">
        <v>3594</v>
      </c>
    </row>
    <row r="31" spans="1:2">
      <c r="A31" s="78">
        <v>20627</v>
      </c>
      <c r="B31" s="78">
        <v>2821</v>
      </c>
    </row>
    <row r="32" spans="1:2">
      <c r="A32" s="78">
        <v>22795</v>
      </c>
      <c r="B32" s="78">
        <v>3366</v>
      </c>
    </row>
    <row r="33" spans="1:2">
      <c r="A33" s="78">
        <v>21570</v>
      </c>
      <c r="B33" s="78">
        <v>2920</v>
      </c>
    </row>
    <row r="34" spans="1:2">
      <c r="A34" s="78">
        <v>22080</v>
      </c>
      <c r="B34" s="78">
        <v>2980</v>
      </c>
    </row>
    <row r="35" spans="1:2">
      <c r="A35" s="78">
        <v>22250</v>
      </c>
      <c r="B35" s="78">
        <v>3731</v>
      </c>
    </row>
    <row r="36" spans="1:2">
      <c r="A36" s="78">
        <v>20940</v>
      </c>
      <c r="B36" s="78">
        <v>2853</v>
      </c>
    </row>
    <row r="37" spans="1:2">
      <c r="A37" s="78">
        <v>21800</v>
      </c>
      <c r="B37" s="78">
        <v>2533</v>
      </c>
    </row>
    <row r="38" spans="1:2">
      <c r="A38" s="78">
        <v>22934</v>
      </c>
      <c r="B38" s="78">
        <v>2729</v>
      </c>
    </row>
    <row r="39" spans="1:2">
      <c r="A39" s="78">
        <v>18443</v>
      </c>
      <c r="B39" s="78">
        <v>2305</v>
      </c>
    </row>
    <row r="40" spans="1:2">
      <c r="A40" s="78">
        <v>19538</v>
      </c>
      <c r="B40" s="78">
        <v>2642</v>
      </c>
    </row>
    <row r="41" spans="1:2">
      <c r="A41" s="78">
        <v>20460</v>
      </c>
      <c r="B41" s="78">
        <v>3124</v>
      </c>
    </row>
    <row r="42" spans="1:2">
      <c r="A42" s="78">
        <v>21419</v>
      </c>
      <c r="B42" s="78">
        <v>2752</v>
      </c>
    </row>
    <row r="43" spans="1:2">
      <c r="A43" s="78">
        <v>25160</v>
      </c>
      <c r="B43" s="78">
        <v>3429</v>
      </c>
    </row>
    <row r="44" spans="1:2">
      <c r="A44" s="78">
        <v>22482</v>
      </c>
      <c r="B44" s="78">
        <v>3947</v>
      </c>
    </row>
    <row r="45" spans="1:2">
      <c r="A45" s="78">
        <v>20969</v>
      </c>
      <c r="B45" s="78">
        <v>2509</v>
      </c>
    </row>
    <row r="46" spans="1:2">
      <c r="A46" s="78">
        <v>27224</v>
      </c>
      <c r="B46" s="78">
        <v>5440</v>
      </c>
    </row>
    <row r="47" spans="1:2">
      <c r="A47" s="78">
        <v>25892</v>
      </c>
      <c r="B47" s="78">
        <v>4042</v>
      </c>
    </row>
    <row r="48" spans="1:2">
      <c r="A48" s="78">
        <v>22644</v>
      </c>
      <c r="B48" s="78">
        <v>3402</v>
      </c>
    </row>
    <row r="49" spans="1:2">
      <c r="A49" s="78">
        <v>24640</v>
      </c>
      <c r="B49" s="78">
        <v>2829</v>
      </c>
    </row>
    <row r="50" spans="1:2">
      <c r="A50" s="78">
        <v>22341</v>
      </c>
      <c r="B50" s="78">
        <v>2297</v>
      </c>
    </row>
    <row r="51" spans="1:2">
      <c r="A51" s="78">
        <v>25610</v>
      </c>
      <c r="B51" s="78">
        <v>2932</v>
      </c>
    </row>
    <row r="52" spans="1:2">
      <c r="A52" s="78">
        <v>26015</v>
      </c>
      <c r="B52" s="78">
        <v>3705</v>
      </c>
    </row>
    <row r="53" spans="1:2">
      <c r="A53" s="78">
        <v>25788</v>
      </c>
      <c r="B53" s="78">
        <v>4123</v>
      </c>
    </row>
    <row r="54" spans="1:2">
      <c r="A54" s="78">
        <v>29132</v>
      </c>
      <c r="B54" s="78">
        <v>3608</v>
      </c>
    </row>
    <row r="55" spans="1:2">
      <c r="A55" s="78">
        <v>41480</v>
      </c>
      <c r="B55" s="78">
        <v>8349</v>
      </c>
    </row>
    <row r="56" spans="1:2">
      <c r="A56" s="78">
        <v>25845</v>
      </c>
      <c r="B56" s="78">
        <v>3766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8F373-DF28-41B4-9CE5-E8EADB924BA5}">
  <dimension ref="A1:I64"/>
  <sheetViews>
    <sheetView topLeftCell="A48" workbookViewId="0">
      <selection activeCell="E5" sqref="E5:I60"/>
    </sheetView>
  </sheetViews>
  <sheetFormatPr defaultRowHeight="15"/>
  <sheetData>
    <row r="1" spans="1:9" ht="78.75" customHeight="1">
      <c r="A1" s="110" t="s">
        <v>215</v>
      </c>
      <c r="B1" s="110"/>
      <c r="C1" s="110"/>
      <c r="D1" s="110"/>
      <c r="E1" s="110"/>
      <c r="F1" s="110"/>
      <c r="G1" s="110"/>
      <c r="H1" s="110"/>
      <c r="I1" s="110"/>
    </row>
    <row r="2" spans="1:9" ht="112.5" customHeight="1">
      <c r="A2" s="110" t="s">
        <v>216</v>
      </c>
      <c r="B2" s="110"/>
      <c r="C2" s="110"/>
      <c r="D2" s="110"/>
      <c r="E2" s="110"/>
      <c r="F2" s="110"/>
      <c r="G2" s="110"/>
      <c r="H2" s="110"/>
      <c r="I2" s="110"/>
    </row>
    <row r="5" spans="1:9">
      <c r="A5" s="82" t="s">
        <v>63</v>
      </c>
      <c r="E5" t="s">
        <v>63</v>
      </c>
      <c r="F5" t="s">
        <v>217</v>
      </c>
      <c r="G5" t="s">
        <v>347</v>
      </c>
      <c r="H5" t="s">
        <v>109</v>
      </c>
      <c r="I5" t="s">
        <v>219</v>
      </c>
    </row>
    <row r="6" spans="1:9">
      <c r="A6" s="83" t="s">
        <v>292</v>
      </c>
      <c r="B6" t="str">
        <f>TRIM(A6)</f>
        <v>1950-51</v>
      </c>
      <c r="C6" t="str">
        <f>RIGHT(B6,2)</f>
        <v>51</v>
      </c>
      <c r="D6" t="str">
        <f>LEFT(A6,2)</f>
        <v>19</v>
      </c>
      <c r="E6">
        <f>VALUE(CONCATENATE(D6,C6))</f>
        <v>1951</v>
      </c>
      <c r="F6">
        <v>10044</v>
      </c>
      <c r="G6" s="84">
        <v>1494</v>
      </c>
      <c r="H6">
        <v>2021</v>
      </c>
      <c r="I6">
        <v>2352</v>
      </c>
    </row>
    <row r="7" spans="1:9">
      <c r="A7" s="83" t="s">
        <v>293</v>
      </c>
      <c r="B7" t="str">
        <f t="shared" ref="B7:B60" si="0">TRIM(A7)</f>
        <v>1951-52</v>
      </c>
      <c r="C7" t="str">
        <f t="shared" ref="C7:C60" si="1">RIGHT(B7,2)</f>
        <v>52</v>
      </c>
      <c r="D7" t="str">
        <f t="shared" ref="D7:D64" si="2">LEFT(A7,2)</f>
        <v>19</v>
      </c>
      <c r="E7">
        <f t="shared" ref="E7:E60" si="3">VALUE(CONCATENATE(D7,C7))</f>
        <v>1952</v>
      </c>
      <c r="F7">
        <v>10686</v>
      </c>
      <c r="G7" s="84">
        <v>1357</v>
      </c>
      <c r="H7">
        <v>1812</v>
      </c>
      <c r="I7">
        <v>2137</v>
      </c>
    </row>
    <row r="8" spans="1:9">
      <c r="A8" s="83" t="s">
        <v>294</v>
      </c>
      <c r="B8" t="str">
        <f t="shared" si="0"/>
        <v>1952-53</v>
      </c>
      <c r="C8" t="str">
        <f t="shared" si="1"/>
        <v>53</v>
      </c>
      <c r="D8" t="str">
        <f t="shared" si="2"/>
        <v>19</v>
      </c>
      <c r="E8">
        <f t="shared" si="3"/>
        <v>1953</v>
      </c>
      <c r="F8">
        <v>10497</v>
      </c>
      <c r="G8" s="84">
        <v>1334</v>
      </c>
      <c r="H8">
        <v>1764</v>
      </c>
      <c r="I8">
        <v>2121</v>
      </c>
    </row>
    <row r="9" spans="1:9">
      <c r="A9" s="83" t="s">
        <v>295</v>
      </c>
      <c r="B9" t="str">
        <f t="shared" si="0"/>
        <v>1953-54</v>
      </c>
      <c r="C9" t="str">
        <f t="shared" si="1"/>
        <v>54</v>
      </c>
      <c r="D9" t="str">
        <f t="shared" si="2"/>
        <v>19</v>
      </c>
      <c r="E9">
        <f t="shared" si="3"/>
        <v>1954</v>
      </c>
      <c r="F9">
        <v>11433</v>
      </c>
      <c r="G9" s="84">
        <v>1385</v>
      </c>
      <c r="H9">
        <v>1828</v>
      </c>
      <c r="I9">
        <v>2200</v>
      </c>
    </row>
    <row r="10" spans="1:9">
      <c r="A10" s="83" t="s">
        <v>296</v>
      </c>
      <c r="B10" t="str">
        <f t="shared" si="0"/>
        <v>1954-55</v>
      </c>
      <c r="C10" t="str">
        <f t="shared" si="1"/>
        <v>55</v>
      </c>
      <c r="D10" t="str">
        <f t="shared" si="2"/>
        <v>19</v>
      </c>
      <c r="E10">
        <f t="shared" si="3"/>
        <v>1955</v>
      </c>
      <c r="F10">
        <v>10805</v>
      </c>
      <c r="G10" s="84">
        <v>1472</v>
      </c>
      <c r="H10">
        <v>1955</v>
      </c>
      <c r="I10">
        <v>2379</v>
      </c>
    </row>
    <row r="11" spans="1:9">
      <c r="A11" s="83" t="s">
        <v>297</v>
      </c>
      <c r="B11" t="str">
        <f t="shared" si="0"/>
        <v>1955-56</v>
      </c>
      <c r="C11" t="str">
        <f t="shared" si="1"/>
        <v>56</v>
      </c>
      <c r="D11" t="str">
        <f t="shared" si="2"/>
        <v>19</v>
      </c>
      <c r="E11">
        <f t="shared" si="3"/>
        <v>1956</v>
      </c>
      <c r="F11">
        <v>11020</v>
      </c>
      <c r="G11" s="84">
        <v>1676</v>
      </c>
      <c r="H11">
        <v>2217</v>
      </c>
      <c r="I11">
        <v>2683</v>
      </c>
    </row>
    <row r="12" spans="1:9">
      <c r="A12" s="83" t="s">
        <v>298</v>
      </c>
      <c r="B12" t="str">
        <f t="shared" si="0"/>
        <v>1956-57</v>
      </c>
      <c r="C12" t="str">
        <f t="shared" si="1"/>
        <v>57</v>
      </c>
      <c r="D12" t="str">
        <f t="shared" si="2"/>
        <v>19</v>
      </c>
      <c r="E12">
        <f t="shared" si="3"/>
        <v>1957</v>
      </c>
      <c r="F12">
        <v>13123</v>
      </c>
      <c r="G12" s="84">
        <v>1734</v>
      </c>
      <c r="H12">
        <v>2342</v>
      </c>
      <c r="I12">
        <v>2869</v>
      </c>
    </row>
    <row r="13" spans="1:9">
      <c r="A13" s="83" t="s">
        <v>299</v>
      </c>
      <c r="B13" t="str">
        <f t="shared" si="0"/>
        <v>1957-58</v>
      </c>
      <c r="C13" t="str">
        <f t="shared" si="1"/>
        <v>58</v>
      </c>
      <c r="D13" t="str">
        <f t="shared" si="2"/>
        <v>19</v>
      </c>
      <c r="E13">
        <f t="shared" si="3"/>
        <v>1958</v>
      </c>
      <c r="F13">
        <v>13516</v>
      </c>
      <c r="G13" s="84">
        <v>1804</v>
      </c>
      <c r="H13">
        <v>2413</v>
      </c>
      <c r="I13">
        <v>3164</v>
      </c>
    </row>
    <row r="14" spans="1:9">
      <c r="A14" s="83" t="s">
        <v>300</v>
      </c>
      <c r="B14" t="str">
        <f t="shared" si="0"/>
        <v>1958-59</v>
      </c>
      <c r="C14" t="str">
        <f t="shared" si="1"/>
        <v>59</v>
      </c>
      <c r="D14" t="str">
        <f t="shared" si="2"/>
        <v>19</v>
      </c>
      <c r="E14">
        <f t="shared" si="3"/>
        <v>1959</v>
      </c>
      <c r="F14">
        <v>15051</v>
      </c>
      <c r="G14" s="84">
        <v>1929</v>
      </c>
      <c r="H14">
        <v>2526</v>
      </c>
      <c r="I14">
        <v>3476</v>
      </c>
    </row>
    <row r="15" spans="1:9">
      <c r="A15" s="83" t="s">
        <v>301</v>
      </c>
      <c r="B15" t="str">
        <f t="shared" si="0"/>
        <v>1959-60</v>
      </c>
      <c r="C15" t="str">
        <f t="shared" si="1"/>
        <v>60</v>
      </c>
      <c r="D15" t="str">
        <f t="shared" si="2"/>
        <v>19</v>
      </c>
      <c r="E15">
        <f t="shared" si="3"/>
        <v>1960</v>
      </c>
      <c r="F15">
        <v>15838</v>
      </c>
      <c r="G15" s="84">
        <v>2111</v>
      </c>
      <c r="H15">
        <v>2720</v>
      </c>
      <c r="I15">
        <v>3883</v>
      </c>
    </row>
    <row r="16" spans="1:9">
      <c r="A16" s="83" t="s">
        <v>302</v>
      </c>
      <c r="B16" t="str">
        <f t="shared" si="0"/>
        <v>1960-61</v>
      </c>
      <c r="C16" t="str">
        <f t="shared" si="1"/>
        <v>61</v>
      </c>
      <c r="D16" t="str">
        <f t="shared" si="2"/>
        <v>19</v>
      </c>
      <c r="E16">
        <f t="shared" si="3"/>
        <v>1961</v>
      </c>
      <c r="F16">
        <v>17335</v>
      </c>
      <c r="G16" s="84">
        <v>2239</v>
      </c>
      <c r="H16">
        <v>2869</v>
      </c>
      <c r="I16">
        <v>3964</v>
      </c>
    </row>
    <row r="17" spans="1:9">
      <c r="A17" s="83" t="s">
        <v>303</v>
      </c>
      <c r="B17" t="str">
        <f t="shared" si="0"/>
        <v>1961-62</v>
      </c>
      <c r="C17" t="str">
        <f t="shared" si="1"/>
        <v>62</v>
      </c>
      <c r="D17" t="str">
        <f t="shared" si="2"/>
        <v>19</v>
      </c>
      <c r="E17">
        <f t="shared" si="3"/>
        <v>1962</v>
      </c>
      <c r="F17">
        <v>18347</v>
      </c>
      <c r="G17" s="84">
        <v>2352</v>
      </c>
      <c r="H17">
        <v>3049</v>
      </c>
      <c r="I17">
        <v>4247</v>
      </c>
    </row>
    <row r="18" spans="1:9">
      <c r="A18" s="83" t="s">
        <v>304</v>
      </c>
      <c r="B18" t="str">
        <f t="shared" si="0"/>
        <v>1962-63</v>
      </c>
      <c r="C18" t="str">
        <f t="shared" si="1"/>
        <v>63</v>
      </c>
      <c r="D18" t="str">
        <f t="shared" si="2"/>
        <v>19</v>
      </c>
      <c r="E18">
        <f t="shared" si="3"/>
        <v>1963</v>
      </c>
      <c r="F18">
        <v>19718</v>
      </c>
      <c r="G18" s="84">
        <v>2546</v>
      </c>
      <c r="H18">
        <v>3317</v>
      </c>
      <c r="I18">
        <v>4560</v>
      </c>
    </row>
    <row r="19" spans="1:9">
      <c r="A19" s="83" t="s">
        <v>305</v>
      </c>
      <c r="B19" t="str">
        <f t="shared" si="0"/>
        <v>1963-64</v>
      </c>
      <c r="C19" t="str">
        <f t="shared" si="1"/>
        <v>64</v>
      </c>
      <c r="D19" t="str">
        <f t="shared" si="2"/>
        <v>19</v>
      </c>
      <c r="E19">
        <f t="shared" si="3"/>
        <v>1964</v>
      </c>
      <c r="F19">
        <v>22662</v>
      </c>
      <c r="G19" s="84">
        <v>2781</v>
      </c>
      <c r="H19">
        <v>3752</v>
      </c>
      <c r="I19">
        <v>5037</v>
      </c>
    </row>
    <row r="20" spans="1:9">
      <c r="A20" s="83" t="s">
        <v>306</v>
      </c>
      <c r="B20" t="str">
        <f t="shared" si="0"/>
        <v>1964-65</v>
      </c>
      <c r="C20" t="str">
        <f t="shared" si="1"/>
        <v>65</v>
      </c>
      <c r="D20" t="str">
        <f t="shared" si="2"/>
        <v>19</v>
      </c>
      <c r="E20">
        <f t="shared" si="3"/>
        <v>1965</v>
      </c>
      <c r="F20">
        <v>26418</v>
      </c>
      <c r="G20" s="84">
        <v>2962</v>
      </c>
      <c r="H20">
        <v>4080</v>
      </c>
      <c r="I20">
        <v>5498</v>
      </c>
    </row>
    <row r="21" spans="1:9">
      <c r="A21" s="83" t="s">
        <v>307</v>
      </c>
      <c r="B21" t="str">
        <f t="shared" si="0"/>
        <v>1965-66</v>
      </c>
      <c r="C21" t="str">
        <f t="shared" si="1"/>
        <v>66</v>
      </c>
      <c r="D21" t="str">
        <f t="shared" si="2"/>
        <v>19</v>
      </c>
      <c r="E21">
        <f t="shared" si="3"/>
        <v>1966</v>
      </c>
      <c r="F21">
        <v>27852</v>
      </c>
      <c r="G21" s="84">
        <v>3233</v>
      </c>
      <c r="H21">
        <v>4529</v>
      </c>
      <c r="I21">
        <v>6134</v>
      </c>
    </row>
    <row r="22" spans="1:9">
      <c r="A22" s="83" t="s">
        <v>308</v>
      </c>
      <c r="B22" t="str">
        <f t="shared" si="0"/>
        <v>1966-67</v>
      </c>
      <c r="C22" t="str">
        <f t="shared" si="1"/>
        <v>67</v>
      </c>
      <c r="D22" t="str">
        <f t="shared" si="2"/>
        <v>19</v>
      </c>
      <c r="E22">
        <f t="shared" si="3"/>
        <v>1967</v>
      </c>
      <c r="F22">
        <v>31481</v>
      </c>
      <c r="G22" s="84">
        <v>3464</v>
      </c>
      <c r="H22">
        <v>4951</v>
      </c>
      <c r="I22">
        <v>6817</v>
      </c>
    </row>
    <row r="23" spans="1:9">
      <c r="A23" s="83" t="s">
        <v>309</v>
      </c>
      <c r="B23" t="str">
        <f t="shared" si="0"/>
        <v>1967-68</v>
      </c>
      <c r="C23" t="str">
        <f t="shared" si="1"/>
        <v>68</v>
      </c>
      <c r="D23" t="str">
        <f t="shared" si="2"/>
        <v>19</v>
      </c>
      <c r="E23">
        <f t="shared" si="3"/>
        <v>1968</v>
      </c>
      <c r="F23">
        <v>36875</v>
      </c>
      <c r="G23" s="84">
        <v>3662</v>
      </c>
      <c r="H23">
        <v>5350</v>
      </c>
      <c r="I23">
        <v>7460</v>
      </c>
    </row>
    <row r="24" spans="1:9">
      <c r="A24" s="83" t="s">
        <v>310</v>
      </c>
      <c r="B24" t="str">
        <f t="shared" si="0"/>
        <v>1968-69</v>
      </c>
      <c r="C24" t="str">
        <f t="shared" si="1"/>
        <v>69</v>
      </c>
      <c r="D24" t="str">
        <f t="shared" si="2"/>
        <v>19</v>
      </c>
      <c r="E24">
        <f t="shared" si="3"/>
        <v>1969</v>
      </c>
      <c r="F24">
        <v>39069</v>
      </c>
      <c r="G24" s="84">
        <v>4069</v>
      </c>
      <c r="H24">
        <v>5779</v>
      </c>
      <c r="I24">
        <v>8306</v>
      </c>
    </row>
    <row r="25" spans="1:9">
      <c r="A25" s="83" t="s">
        <v>311</v>
      </c>
      <c r="B25" t="str">
        <f t="shared" si="0"/>
        <v>1969-70</v>
      </c>
      <c r="C25" t="str">
        <f t="shared" si="1"/>
        <v>70</v>
      </c>
      <c r="D25" t="str">
        <f t="shared" si="2"/>
        <v>19</v>
      </c>
      <c r="E25">
        <f t="shared" si="3"/>
        <v>1970</v>
      </c>
      <c r="F25">
        <v>43027</v>
      </c>
      <c r="G25" s="84">
        <v>4390</v>
      </c>
      <c r="H25">
        <v>6536</v>
      </c>
      <c r="I25">
        <v>9639</v>
      </c>
    </row>
    <row r="26" spans="1:9">
      <c r="A26" s="83" t="s">
        <v>312</v>
      </c>
      <c r="B26" t="str">
        <f t="shared" si="0"/>
        <v>1970-71</v>
      </c>
      <c r="C26" t="str">
        <f t="shared" si="1"/>
        <v>71</v>
      </c>
      <c r="D26" t="str">
        <f t="shared" si="2"/>
        <v>19</v>
      </c>
      <c r="E26">
        <f t="shared" si="3"/>
        <v>1971</v>
      </c>
      <c r="F26">
        <v>45965</v>
      </c>
      <c r="G26" s="84">
        <v>4822</v>
      </c>
      <c r="H26">
        <v>7374</v>
      </c>
      <c r="I26">
        <v>11020</v>
      </c>
    </row>
    <row r="27" spans="1:9">
      <c r="A27" s="83" t="s">
        <v>313</v>
      </c>
      <c r="B27" t="str">
        <f t="shared" si="0"/>
        <v>1971-72</v>
      </c>
      <c r="C27" t="str">
        <f t="shared" si="1"/>
        <v>72</v>
      </c>
      <c r="D27" t="str">
        <f t="shared" si="2"/>
        <v>19</v>
      </c>
      <c r="E27">
        <f t="shared" si="3"/>
        <v>1972</v>
      </c>
      <c r="F27">
        <v>49232</v>
      </c>
      <c r="G27" s="84">
        <v>5382</v>
      </c>
      <c r="H27">
        <v>8323</v>
      </c>
      <c r="I27">
        <v>12693</v>
      </c>
    </row>
    <row r="28" spans="1:9">
      <c r="A28" s="83" t="s">
        <v>314</v>
      </c>
      <c r="B28" t="str">
        <f t="shared" si="0"/>
        <v>1972-73</v>
      </c>
      <c r="C28" t="str">
        <f t="shared" si="1"/>
        <v>73</v>
      </c>
      <c r="D28" t="str">
        <f t="shared" si="2"/>
        <v>19</v>
      </c>
      <c r="E28">
        <f t="shared" si="3"/>
        <v>1973</v>
      </c>
      <c r="F28">
        <v>54289</v>
      </c>
      <c r="G28" s="84">
        <v>6033</v>
      </c>
      <c r="H28">
        <v>9700</v>
      </c>
      <c r="I28">
        <v>15013</v>
      </c>
    </row>
    <row r="29" spans="1:9">
      <c r="A29" s="83" t="s">
        <v>315</v>
      </c>
      <c r="B29" t="str">
        <f t="shared" si="0"/>
        <v>1973-74</v>
      </c>
      <c r="C29" t="str">
        <f t="shared" si="1"/>
        <v>74</v>
      </c>
      <c r="D29" t="str">
        <f t="shared" si="2"/>
        <v>19</v>
      </c>
      <c r="E29">
        <f t="shared" si="3"/>
        <v>1974</v>
      </c>
      <c r="F29">
        <v>66103</v>
      </c>
      <c r="G29" s="84">
        <v>7273</v>
      </c>
      <c r="H29">
        <v>11200</v>
      </c>
      <c r="I29">
        <v>17624</v>
      </c>
    </row>
    <row r="30" spans="1:9">
      <c r="A30" s="83" t="s">
        <v>316</v>
      </c>
      <c r="B30" t="str">
        <f t="shared" si="0"/>
        <v>1974-75</v>
      </c>
      <c r="C30" t="str">
        <f t="shared" si="1"/>
        <v>75</v>
      </c>
      <c r="D30" t="str">
        <f t="shared" si="2"/>
        <v>19</v>
      </c>
      <c r="E30">
        <f t="shared" si="3"/>
        <v>1975</v>
      </c>
      <c r="F30">
        <v>78135</v>
      </c>
      <c r="G30" s="84">
        <v>7604</v>
      </c>
      <c r="H30">
        <v>11975</v>
      </c>
      <c r="I30">
        <v>19549</v>
      </c>
    </row>
    <row r="31" spans="1:9">
      <c r="A31" s="83" t="s">
        <v>317</v>
      </c>
      <c r="B31" t="str">
        <f t="shared" si="0"/>
        <v>1975-76</v>
      </c>
      <c r="C31" t="str">
        <f t="shared" si="1"/>
        <v>76</v>
      </c>
      <c r="D31" t="str">
        <f t="shared" si="2"/>
        <v>19</v>
      </c>
      <c r="E31">
        <f t="shared" si="3"/>
        <v>1976</v>
      </c>
      <c r="F31">
        <v>83966</v>
      </c>
      <c r="G31" s="84">
        <v>7808</v>
      </c>
      <c r="H31">
        <v>13325</v>
      </c>
      <c r="I31">
        <v>22480</v>
      </c>
    </row>
    <row r="32" spans="1:9">
      <c r="A32" s="83" t="s">
        <v>318</v>
      </c>
      <c r="B32" t="str">
        <f t="shared" si="0"/>
        <v>1976-77</v>
      </c>
      <c r="C32" t="str">
        <f t="shared" si="1"/>
        <v>77</v>
      </c>
      <c r="D32" t="str">
        <f t="shared" si="2"/>
        <v>19</v>
      </c>
      <c r="E32">
        <f t="shared" si="3"/>
        <v>1977</v>
      </c>
      <c r="F32">
        <v>90518</v>
      </c>
      <c r="G32" s="84">
        <v>9798</v>
      </c>
      <c r="H32">
        <v>16024</v>
      </c>
      <c r="I32">
        <v>27781</v>
      </c>
    </row>
    <row r="33" spans="1:9">
      <c r="A33" s="83" t="s">
        <v>319</v>
      </c>
      <c r="B33" t="str">
        <f t="shared" si="0"/>
        <v>1977-78</v>
      </c>
      <c r="C33" t="str">
        <f t="shared" si="1"/>
        <v>78</v>
      </c>
      <c r="D33" t="str">
        <f t="shared" si="2"/>
        <v>19</v>
      </c>
      <c r="E33">
        <f t="shared" si="3"/>
        <v>1978</v>
      </c>
      <c r="F33">
        <v>102563</v>
      </c>
      <c r="G33" s="84">
        <v>10941</v>
      </c>
      <c r="H33">
        <v>14388</v>
      </c>
      <c r="I33">
        <v>32906</v>
      </c>
    </row>
    <row r="34" spans="1:9">
      <c r="A34" s="83" t="s">
        <v>320</v>
      </c>
      <c r="B34" t="str">
        <f t="shared" si="0"/>
        <v>1978-79</v>
      </c>
      <c r="C34" t="str">
        <f t="shared" si="1"/>
        <v>79</v>
      </c>
      <c r="D34" t="str">
        <f t="shared" si="2"/>
        <v>19</v>
      </c>
      <c r="E34">
        <f t="shared" si="3"/>
        <v>1979</v>
      </c>
      <c r="F34">
        <v>111215</v>
      </c>
      <c r="G34" s="84">
        <v>14082</v>
      </c>
      <c r="H34">
        <v>17292</v>
      </c>
      <c r="I34">
        <v>40112</v>
      </c>
    </row>
    <row r="35" spans="1:9">
      <c r="A35" s="83" t="s">
        <v>321</v>
      </c>
      <c r="B35" t="str">
        <f t="shared" si="0"/>
        <v>1979-80</v>
      </c>
      <c r="C35" t="str">
        <f t="shared" si="1"/>
        <v>80</v>
      </c>
      <c r="D35" t="str">
        <f t="shared" si="2"/>
        <v>19</v>
      </c>
      <c r="E35">
        <f t="shared" si="3"/>
        <v>1980</v>
      </c>
      <c r="F35">
        <v>122308</v>
      </c>
      <c r="G35" s="84">
        <v>16573</v>
      </c>
      <c r="H35">
        <v>20000</v>
      </c>
      <c r="I35">
        <v>47226</v>
      </c>
    </row>
    <row r="36" spans="1:9">
      <c r="A36" s="83" t="s">
        <v>322</v>
      </c>
      <c r="B36" t="str">
        <f t="shared" si="0"/>
        <v>1980-81</v>
      </c>
      <c r="C36" t="str">
        <f t="shared" si="1"/>
        <v>81</v>
      </c>
      <c r="D36" t="str">
        <f t="shared" si="2"/>
        <v>19</v>
      </c>
      <c r="E36">
        <f t="shared" si="3"/>
        <v>1981</v>
      </c>
      <c r="F36">
        <v>145715</v>
      </c>
      <c r="G36" s="84">
        <v>19452</v>
      </c>
      <c r="H36">
        <v>23424</v>
      </c>
      <c r="I36">
        <v>55774</v>
      </c>
    </row>
    <row r="37" spans="1:9">
      <c r="A37" s="83" t="s">
        <v>323</v>
      </c>
      <c r="B37" t="str">
        <f t="shared" si="0"/>
        <v>1981-82</v>
      </c>
      <c r="C37" t="str">
        <f t="shared" si="1"/>
        <v>82</v>
      </c>
      <c r="D37" t="str">
        <f t="shared" si="2"/>
        <v>19</v>
      </c>
      <c r="E37">
        <f t="shared" si="3"/>
        <v>1982</v>
      </c>
      <c r="F37">
        <v>170845</v>
      </c>
      <c r="G37" s="84">
        <v>20998</v>
      </c>
      <c r="H37">
        <v>24937</v>
      </c>
      <c r="I37">
        <v>62752</v>
      </c>
    </row>
    <row r="38" spans="1:9">
      <c r="A38" s="83" t="s">
        <v>324</v>
      </c>
      <c r="B38" t="str">
        <f t="shared" si="0"/>
        <v>1982-83</v>
      </c>
      <c r="C38" t="str">
        <f t="shared" si="1"/>
        <v>83</v>
      </c>
      <c r="D38" t="str">
        <f t="shared" si="2"/>
        <v>19</v>
      </c>
      <c r="E38">
        <f t="shared" si="3"/>
        <v>1983</v>
      </c>
      <c r="F38">
        <v>190425</v>
      </c>
      <c r="G38" s="84">
        <v>23110</v>
      </c>
      <c r="H38">
        <v>28535</v>
      </c>
      <c r="I38">
        <v>73184</v>
      </c>
    </row>
    <row r="39" spans="1:9">
      <c r="A39" s="83" t="s">
        <v>325</v>
      </c>
      <c r="B39" t="str">
        <f t="shared" si="0"/>
        <v>1983-84</v>
      </c>
      <c r="C39" t="str">
        <f t="shared" si="1"/>
        <v>84</v>
      </c>
      <c r="D39" t="str">
        <f t="shared" si="2"/>
        <v>19</v>
      </c>
      <c r="E39">
        <f t="shared" si="3"/>
        <v>1984</v>
      </c>
      <c r="F39">
        <v>221541</v>
      </c>
      <c r="G39" s="84">
        <v>28994</v>
      </c>
      <c r="H39">
        <v>33398</v>
      </c>
      <c r="I39">
        <v>86525</v>
      </c>
    </row>
    <row r="40" spans="1:9">
      <c r="A40" s="83" t="s">
        <v>326</v>
      </c>
      <c r="B40" t="str">
        <f t="shared" si="0"/>
        <v>1984-85</v>
      </c>
      <c r="C40" t="str">
        <f t="shared" si="1"/>
        <v>85</v>
      </c>
      <c r="D40" t="str">
        <f t="shared" si="2"/>
        <v>19</v>
      </c>
      <c r="E40">
        <f t="shared" si="3"/>
        <v>1985</v>
      </c>
      <c r="F40">
        <v>247844</v>
      </c>
      <c r="G40" s="84">
        <v>35216</v>
      </c>
      <c r="H40">
        <v>39915</v>
      </c>
      <c r="I40">
        <v>102933</v>
      </c>
    </row>
    <row r="41" spans="1:9">
      <c r="A41" s="83" t="s">
        <v>327</v>
      </c>
      <c r="B41" t="str">
        <f t="shared" si="0"/>
        <v>1985-86</v>
      </c>
      <c r="C41" t="str">
        <f t="shared" si="1"/>
        <v>86</v>
      </c>
      <c r="D41" t="str">
        <f t="shared" si="2"/>
        <v>19</v>
      </c>
      <c r="E41">
        <f t="shared" si="3"/>
        <v>1986</v>
      </c>
      <c r="F41">
        <v>279901</v>
      </c>
      <c r="G41" s="84">
        <v>38165</v>
      </c>
      <c r="H41">
        <v>44095</v>
      </c>
      <c r="I41">
        <v>119394</v>
      </c>
    </row>
    <row r="42" spans="1:9">
      <c r="A42" s="83" t="s">
        <v>328</v>
      </c>
      <c r="B42" t="str">
        <f t="shared" si="0"/>
        <v>1986-87</v>
      </c>
      <c r="C42" t="str">
        <f t="shared" si="1"/>
        <v>87</v>
      </c>
      <c r="D42" t="str">
        <f t="shared" si="2"/>
        <v>19</v>
      </c>
      <c r="E42">
        <f t="shared" si="3"/>
        <v>1987</v>
      </c>
      <c r="F42">
        <v>313011</v>
      </c>
      <c r="G42" s="84">
        <v>44808</v>
      </c>
      <c r="H42">
        <v>51516</v>
      </c>
      <c r="I42">
        <v>141632</v>
      </c>
    </row>
    <row r="43" spans="1:9">
      <c r="A43" s="83" t="s">
        <v>329</v>
      </c>
      <c r="B43" t="str">
        <f t="shared" si="0"/>
        <v>1987-88</v>
      </c>
      <c r="C43" t="str">
        <f t="shared" si="1"/>
        <v>88</v>
      </c>
      <c r="D43" t="str">
        <f t="shared" si="2"/>
        <v>19</v>
      </c>
      <c r="E43">
        <f t="shared" si="3"/>
        <v>1988</v>
      </c>
      <c r="F43">
        <v>355242</v>
      </c>
      <c r="G43" s="84">
        <v>53489</v>
      </c>
      <c r="H43">
        <v>58555</v>
      </c>
      <c r="I43">
        <v>164275</v>
      </c>
    </row>
    <row r="44" spans="1:9">
      <c r="A44" s="83" t="s">
        <v>330</v>
      </c>
      <c r="B44" t="str">
        <f t="shared" si="0"/>
        <v>1988-89</v>
      </c>
      <c r="C44" t="str">
        <f t="shared" si="1"/>
        <v>89</v>
      </c>
      <c r="D44" t="str">
        <f t="shared" si="2"/>
        <v>19</v>
      </c>
      <c r="E44">
        <f t="shared" si="3"/>
        <v>1989</v>
      </c>
      <c r="F44">
        <v>420035</v>
      </c>
      <c r="G44" s="84">
        <v>62958</v>
      </c>
      <c r="H44">
        <v>66786</v>
      </c>
      <c r="I44">
        <v>193493</v>
      </c>
    </row>
    <row r="45" spans="1:9">
      <c r="A45" s="83" t="s">
        <v>331</v>
      </c>
      <c r="B45" t="str">
        <f t="shared" si="0"/>
        <v>1989-90</v>
      </c>
      <c r="C45" t="str">
        <f t="shared" si="1"/>
        <v>90</v>
      </c>
      <c r="D45" t="str">
        <f t="shared" si="2"/>
        <v>19</v>
      </c>
      <c r="E45">
        <f t="shared" si="3"/>
        <v>1990</v>
      </c>
      <c r="F45">
        <v>481953</v>
      </c>
      <c r="G45" s="84">
        <v>77591</v>
      </c>
      <c r="H45">
        <v>81060</v>
      </c>
      <c r="I45">
        <v>230950</v>
      </c>
    </row>
    <row r="46" spans="1:9">
      <c r="A46" s="83" t="s">
        <v>332</v>
      </c>
      <c r="B46" t="str">
        <f t="shared" si="0"/>
        <v>1990-91</v>
      </c>
      <c r="C46" t="str">
        <f t="shared" si="1"/>
        <v>91</v>
      </c>
      <c r="D46" t="str">
        <f t="shared" si="2"/>
        <v>19</v>
      </c>
      <c r="E46">
        <f t="shared" si="3"/>
        <v>1991</v>
      </c>
      <c r="F46">
        <v>562079</v>
      </c>
      <c r="G46" s="84">
        <v>87779</v>
      </c>
      <c r="H46">
        <v>92892</v>
      </c>
      <c r="I46">
        <v>265828</v>
      </c>
    </row>
    <row r="47" spans="1:9">
      <c r="A47" s="83" t="s">
        <v>333</v>
      </c>
      <c r="B47" t="str">
        <f t="shared" si="0"/>
        <v>1991-92</v>
      </c>
      <c r="C47" t="str">
        <f t="shared" si="1"/>
        <v>92</v>
      </c>
      <c r="D47" t="str">
        <f t="shared" si="2"/>
        <v>19</v>
      </c>
      <c r="E47">
        <f t="shared" si="3"/>
        <v>1992</v>
      </c>
      <c r="F47">
        <v>644652</v>
      </c>
      <c r="G47" s="84">
        <v>99505</v>
      </c>
      <c r="H47">
        <v>114406</v>
      </c>
      <c r="I47">
        <v>317049</v>
      </c>
    </row>
    <row r="48" spans="1:9">
      <c r="A48" s="83" t="s">
        <v>334</v>
      </c>
      <c r="B48" t="str">
        <f t="shared" si="0"/>
        <v>1992-93</v>
      </c>
      <c r="C48" t="str">
        <f t="shared" si="1"/>
        <v>93</v>
      </c>
      <c r="D48" t="str">
        <f t="shared" si="2"/>
        <v>19</v>
      </c>
      <c r="E48">
        <f t="shared" si="3"/>
        <v>1993</v>
      </c>
      <c r="F48">
        <v>740946</v>
      </c>
      <c r="G48" s="84">
        <v>110779</v>
      </c>
      <c r="H48">
        <v>124066</v>
      </c>
      <c r="I48">
        <v>364016</v>
      </c>
    </row>
    <row r="49" spans="1:9">
      <c r="A49" s="83" t="s">
        <v>335</v>
      </c>
      <c r="B49" t="str">
        <f t="shared" si="0"/>
        <v>1993-94</v>
      </c>
      <c r="C49" t="str">
        <f t="shared" si="1"/>
        <v>94</v>
      </c>
      <c r="D49" t="str">
        <f t="shared" si="2"/>
        <v>19</v>
      </c>
      <c r="E49">
        <f t="shared" si="3"/>
        <v>1994</v>
      </c>
      <c r="F49">
        <v>853725</v>
      </c>
      <c r="G49" s="84">
        <v>138672</v>
      </c>
      <c r="H49">
        <v>150778</v>
      </c>
      <c r="I49">
        <v>431084</v>
      </c>
    </row>
    <row r="50" spans="1:9">
      <c r="A50" s="83" t="s">
        <v>336</v>
      </c>
      <c r="B50" t="str">
        <f t="shared" si="0"/>
        <v>1994-95</v>
      </c>
      <c r="C50" t="str">
        <f t="shared" si="1"/>
        <v>95</v>
      </c>
      <c r="D50" t="str">
        <f t="shared" si="2"/>
        <v>19</v>
      </c>
      <c r="E50">
        <f t="shared" si="3"/>
        <v>1995</v>
      </c>
      <c r="F50">
        <v>1002681</v>
      </c>
      <c r="G50" s="84">
        <v>169283</v>
      </c>
      <c r="H50">
        <v>192257</v>
      </c>
      <c r="I50">
        <v>527596</v>
      </c>
    </row>
    <row r="51" spans="1:9">
      <c r="A51" s="83" t="s">
        <v>337</v>
      </c>
      <c r="B51" t="str">
        <f t="shared" si="0"/>
        <v>1995-96</v>
      </c>
      <c r="C51" t="str">
        <f t="shared" si="1"/>
        <v>96</v>
      </c>
      <c r="D51" t="str">
        <f t="shared" si="2"/>
        <v>19</v>
      </c>
      <c r="E51">
        <f t="shared" si="3"/>
        <v>1996</v>
      </c>
      <c r="F51">
        <v>1178329</v>
      </c>
      <c r="G51" s="84">
        <v>194457</v>
      </c>
      <c r="H51">
        <v>214835</v>
      </c>
      <c r="I51">
        <v>599191</v>
      </c>
    </row>
    <row r="52" spans="1:9">
      <c r="A52" s="83" t="s">
        <v>338</v>
      </c>
      <c r="B52" t="str">
        <f t="shared" si="0"/>
        <v>1996-97</v>
      </c>
      <c r="C52" t="str">
        <f t="shared" si="1"/>
        <v>97</v>
      </c>
      <c r="D52" t="str">
        <f t="shared" si="2"/>
        <v>19</v>
      </c>
      <c r="E52">
        <f t="shared" si="3"/>
        <v>1997</v>
      </c>
      <c r="F52">
        <v>1365535</v>
      </c>
      <c r="G52" s="84">
        <v>199985</v>
      </c>
      <c r="H52">
        <v>240615</v>
      </c>
      <c r="I52">
        <v>696012</v>
      </c>
    </row>
    <row r="53" spans="1:9">
      <c r="A53" s="83" t="s">
        <v>339</v>
      </c>
      <c r="B53" t="str">
        <f t="shared" si="0"/>
        <v>1997-98</v>
      </c>
      <c r="C53" t="str">
        <f t="shared" si="1"/>
        <v>98</v>
      </c>
      <c r="D53" t="str">
        <f t="shared" si="2"/>
        <v>19</v>
      </c>
      <c r="E53">
        <f t="shared" si="3"/>
        <v>1998</v>
      </c>
      <c r="F53">
        <v>1513953</v>
      </c>
      <c r="G53" s="84">
        <v>226402</v>
      </c>
      <c r="H53">
        <v>267844</v>
      </c>
      <c r="I53">
        <v>821332</v>
      </c>
    </row>
    <row r="54" spans="1:9">
      <c r="A54" s="83" t="s">
        <v>340</v>
      </c>
      <c r="B54" t="str">
        <f t="shared" si="0"/>
        <v>1998-99</v>
      </c>
      <c r="C54" t="str">
        <f t="shared" si="1"/>
        <v>99</v>
      </c>
      <c r="D54" t="str">
        <f t="shared" si="2"/>
        <v>19</v>
      </c>
      <c r="E54">
        <f t="shared" si="3"/>
        <v>1999</v>
      </c>
      <c r="F54">
        <v>1736231</v>
      </c>
      <c r="G54" s="84">
        <v>259286</v>
      </c>
      <c r="H54">
        <v>309068</v>
      </c>
      <c r="I54">
        <v>980960</v>
      </c>
    </row>
    <row r="55" spans="1:9">
      <c r="A55" s="83" t="s">
        <v>341</v>
      </c>
      <c r="B55" t="str">
        <f t="shared" si="0"/>
        <v>1999-00</v>
      </c>
      <c r="C55" t="str">
        <f t="shared" si="1"/>
        <v>00</v>
      </c>
      <c r="D55" t="str">
        <f t="shared" si="2"/>
        <v>19</v>
      </c>
      <c r="E55">
        <f t="shared" si="3"/>
        <v>1900</v>
      </c>
      <c r="F55">
        <v>1936605</v>
      </c>
      <c r="G55" s="84">
        <v>280555</v>
      </c>
      <c r="H55">
        <v>341796</v>
      </c>
      <c r="I55">
        <v>1124174</v>
      </c>
    </row>
    <row r="56" spans="1:9">
      <c r="A56" s="83" t="s">
        <v>342</v>
      </c>
      <c r="B56" t="str">
        <f t="shared" si="0"/>
        <v>2000-01</v>
      </c>
      <c r="C56" t="str">
        <f t="shared" si="1"/>
        <v>01</v>
      </c>
      <c r="D56" t="str">
        <f t="shared" si="2"/>
        <v>20</v>
      </c>
      <c r="E56">
        <f t="shared" si="3"/>
        <v>2001</v>
      </c>
      <c r="F56">
        <v>2079581</v>
      </c>
      <c r="G56" s="84">
        <v>303311</v>
      </c>
      <c r="H56">
        <v>379450</v>
      </c>
      <c r="I56">
        <v>1313220</v>
      </c>
    </row>
    <row r="57" spans="1:9">
      <c r="A57" s="83" t="s">
        <v>343</v>
      </c>
      <c r="B57" t="str">
        <f t="shared" si="0"/>
        <v>2001-02</v>
      </c>
      <c r="C57" t="str">
        <f t="shared" si="1"/>
        <v>02</v>
      </c>
      <c r="D57" t="str">
        <f t="shared" si="2"/>
        <v>20</v>
      </c>
      <c r="E57">
        <f t="shared" si="3"/>
        <v>2002</v>
      </c>
      <c r="F57">
        <v>2258884</v>
      </c>
      <c r="G57" s="84">
        <v>337970</v>
      </c>
      <c r="H57">
        <v>422843</v>
      </c>
      <c r="I57">
        <v>1498355</v>
      </c>
    </row>
    <row r="58" spans="1:9">
      <c r="A58" s="83" t="s">
        <v>344</v>
      </c>
      <c r="B58" t="str">
        <f t="shared" si="0"/>
        <v>2002-03</v>
      </c>
      <c r="C58" t="str">
        <f t="shared" si="1"/>
        <v>03</v>
      </c>
      <c r="D58" t="str">
        <f t="shared" si="2"/>
        <v>20</v>
      </c>
      <c r="E58">
        <f t="shared" si="3"/>
        <v>2003</v>
      </c>
      <c r="F58">
        <v>2437871</v>
      </c>
      <c r="G58" s="84">
        <v>369061</v>
      </c>
      <c r="H58">
        <v>473581</v>
      </c>
      <c r="I58">
        <v>1717960</v>
      </c>
    </row>
    <row r="59" spans="1:9">
      <c r="A59" s="83" t="s">
        <v>345</v>
      </c>
      <c r="B59" t="str">
        <f t="shared" si="0"/>
        <v>2003-04</v>
      </c>
      <c r="C59" t="str">
        <f t="shared" si="1"/>
        <v>04</v>
      </c>
      <c r="D59" t="str">
        <f t="shared" si="2"/>
        <v>20</v>
      </c>
      <c r="E59">
        <f t="shared" si="3"/>
        <v>2004</v>
      </c>
      <c r="F59">
        <v>2733912</v>
      </c>
      <c r="G59" s="84">
        <v>436512</v>
      </c>
      <c r="H59">
        <v>578716</v>
      </c>
      <c r="I59">
        <v>2005676</v>
      </c>
    </row>
    <row r="60" spans="1:9">
      <c r="A60" s="83" t="s">
        <v>346</v>
      </c>
      <c r="B60" t="str">
        <f t="shared" si="0"/>
        <v>2004-05</v>
      </c>
      <c r="C60" t="str">
        <f t="shared" si="1"/>
        <v>05</v>
      </c>
      <c r="D60" t="str">
        <f t="shared" si="2"/>
        <v>20</v>
      </c>
      <c r="E60">
        <f t="shared" si="3"/>
        <v>2005</v>
      </c>
      <c r="F60">
        <v>3127032</v>
      </c>
      <c r="G60" s="84">
        <v>489135</v>
      </c>
      <c r="H60">
        <v>649790</v>
      </c>
      <c r="I60">
        <v>2245677</v>
      </c>
    </row>
    <row r="61" spans="1:9">
      <c r="D61" t="str">
        <f t="shared" si="2"/>
        <v/>
      </c>
      <c r="G61" s="84"/>
    </row>
    <row r="62" spans="1:9">
      <c r="D62" t="str">
        <f t="shared" si="2"/>
        <v/>
      </c>
      <c r="G62" s="84"/>
    </row>
    <row r="63" spans="1:9">
      <c r="D63" t="str">
        <f t="shared" si="2"/>
        <v/>
      </c>
      <c r="G63" s="84"/>
    </row>
    <row r="64" spans="1:9">
      <c r="D64" t="str">
        <f t="shared" si="2"/>
        <v/>
      </c>
      <c r="G64" s="84"/>
    </row>
  </sheetData>
  <mergeCells count="2">
    <mergeCell ref="A1:I1"/>
    <mergeCell ref="A2:I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4F59-65DA-4738-B51A-2C9187255E59}">
  <dimension ref="A1:X46"/>
  <sheetViews>
    <sheetView topLeftCell="J26" workbookViewId="0">
      <selection activeCell="R4" sqref="R4:X46"/>
    </sheetView>
  </sheetViews>
  <sheetFormatPr defaultRowHeight="15"/>
  <cols>
    <col min="1" max="1" width="15.28515625" bestFit="1" customWidth="1"/>
    <col min="2" max="2" width="38.85546875" bestFit="1" customWidth="1"/>
    <col min="3" max="3" width="7.42578125" bestFit="1" customWidth="1"/>
    <col min="18" max="18" width="14.42578125" bestFit="1" customWidth="1"/>
  </cols>
  <sheetData>
    <row r="1" spans="1:24">
      <c r="A1" s="79"/>
      <c r="B1" s="79" t="s">
        <v>221</v>
      </c>
      <c r="C1" s="79"/>
      <c r="D1" s="79"/>
      <c r="E1" s="79"/>
      <c r="F1" s="79"/>
    </row>
    <row r="4" spans="1:24" ht="77.25">
      <c r="A4" s="79" t="s">
        <v>222</v>
      </c>
      <c r="B4" s="79" t="s">
        <v>223</v>
      </c>
      <c r="C4" s="79" t="s">
        <v>224</v>
      </c>
      <c r="D4" s="81" t="s">
        <v>225</v>
      </c>
      <c r="E4" s="81" t="s">
        <v>226</v>
      </c>
      <c r="F4" s="79" t="s">
        <v>227</v>
      </c>
      <c r="K4" t="s">
        <v>1410</v>
      </c>
      <c r="L4" t="s">
        <v>1411</v>
      </c>
      <c r="R4" t="s">
        <v>222</v>
      </c>
      <c r="S4" t="s">
        <v>1411</v>
      </c>
      <c r="T4" t="s">
        <v>1410</v>
      </c>
      <c r="U4" t="s">
        <v>224</v>
      </c>
      <c r="V4" t="s">
        <v>1443</v>
      </c>
      <c r="W4" t="s">
        <v>1444</v>
      </c>
      <c r="X4" t="s">
        <v>1445</v>
      </c>
    </row>
    <row r="5" spans="1:24" ht="15.75">
      <c r="A5" s="79" t="s">
        <v>228</v>
      </c>
      <c r="B5" s="80">
        <v>3.22</v>
      </c>
      <c r="C5" s="79">
        <v>3.22</v>
      </c>
      <c r="D5" s="79"/>
      <c r="E5" s="79"/>
      <c r="F5" s="79"/>
      <c r="K5" s="106">
        <f>VALUE(RIGHT(B5,LEN(B5) - MIN(SEARCH({0,1,2,3,4,5,6,7,8,9}, B5&amp;"0123456789")) +1))</f>
        <v>3.22</v>
      </c>
      <c r="L5" s="108" t="str">
        <f>IFERROR(LEFT(B5,FIND(" ",B5)-1),"US Dollar")</f>
        <v>US Dollar</v>
      </c>
      <c r="R5" t="s">
        <v>228</v>
      </c>
      <c r="S5" t="s">
        <v>1261</v>
      </c>
      <c r="T5">
        <v>3.22</v>
      </c>
      <c r="U5">
        <v>3.22</v>
      </c>
    </row>
    <row r="6" spans="1:24" ht="15.75">
      <c r="A6" s="79" t="s">
        <v>150</v>
      </c>
      <c r="B6" s="79" t="s">
        <v>229</v>
      </c>
      <c r="C6" s="79">
        <v>2.65</v>
      </c>
      <c r="D6" s="79">
        <v>2.56</v>
      </c>
      <c r="E6" s="79">
        <v>3.11</v>
      </c>
      <c r="F6" s="79">
        <v>-18</v>
      </c>
      <c r="K6" s="106">
        <f>VALUE(RIGHT(B6,LEN(B6) - MIN(SEARCH({0,1,2,3,4,5,6,7,8,9}, B6&amp;"0123456789")) +1))</f>
        <v>8.25</v>
      </c>
      <c r="L6" s="108" t="str">
        <f>IFERROR(LEFT(B6,FIND(" ",B6)-1),"US Dollar")</f>
        <v>Peso</v>
      </c>
      <c r="R6" t="s">
        <v>150</v>
      </c>
      <c r="S6" t="s">
        <v>1412</v>
      </c>
      <c r="T6">
        <v>8.25</v>
      </c>
      <c r="U6">
        <v>2.65</v>
      </c>
      <c r="V6">
        <v>2.56</v>
      </c>
      <c r="W6">
        <v>3.11</v>
      </c>
      <c r="X6">
        <v>-18</v>
      </c>
    </row>
    <row r="7" spans="1:24" ht="15.75">
      <c r="A7" s="79" t="s">
        <v>151</v>
      </c>
      <c r="B7" s="79" t="s">
        <v>230</v>
      </c>
      <c r="C7" s="79">
        <v>2.67</v>
      </c>
      <c r="D7" s="79">
        <v>1.07</v>
      </c>
      <c r="E7" s="79">
        <v>1.29</v>
      </c>
      <c r="F7" s="79">
        <v>-17</v>
      </c>
      <c r="K7" s="106">
        <f>VALUE(RIGHT(B7,LEN(B7) - MIN(SEARCH({0,1,2,3,4,5,6,7,8,9}, B7&amp;"0123456789")) +1))</f>
        <v>3.45</v>
      </c>
      <c r="L7" s="108" t="str">
        <f t="shared" ref="L7:L30" si="0">IFERROR(LEFT(B7,FIND(" ",B7)-1),"US Dollar")</f>
        <v>A</v>
      </c>
      <c r="R7" t="s">
        <v>151</v>
      </c>
      <c r="S7" t="s">
        <v>730</v>
      </c>
      <c r="T7">
        <v>3.45</v>
      </c>
      <c r="U7">
        <v>2.67</v>
      </c>
      <c r="V7">
        <v>1.07</v>
      </c>
      <c r="W7">
        <v>1.29</v>
      </c>
      <c r="X7">
        <v>-17</v>
      </c>
    </row>
    <row r="8" spans="1:24" ht="15.75">
      <c r="A8" s="79" t="s">
        <v>153</v>
      </c>
      <c r="B8" s="79" t="s">
        <v>231</v>
      </c>
      <c r="C8" s="79">
        <v>3.01</v>
      </c>
      <c r="D8" s="79">
        <v>1.99</v>
      </c>
      <c r="E8" s="79">
        <v>2.13</v>
      </c>
      <c r="F8" s="79">
        <v>-6</v>
      </c>
      <c r="K8" s="106">
        <f>VALUE(RIGHT(B8,LEN(B8) - MIN(SEARCH({0,1,2,3,4,5,6,7,8,9}, B8&amp;"0123456789")) +1))</f>
        <v>6.4</v>
      </c>
      <c r="L8" s="108" t="str">
        <f t="shared" si="0"/>
        <v>Real</v>
      </c>
      <c r="R8" t="s">
        <v>153</v>
      </c>
      <c r="S8" t="s">
        <v>1413</v>
      </c>
      <c r="T8">
        <v>6.4</v>
      </c>
      <c r="U8">
        <v>3.01</v>
      </c>
      <c r="V8">
        <v>1.99</v>
      </c>
      <c r="W8">
        <v>2.13</v>
      </c>
      <c r="X8">
        <v>-6</v>
      </c>
    </row>
    <row r="9" spans="1:24" ht="15.75">
      <c r="A9" s="79" t="s">
        <v>232</v>
      </c>
      <c r="B9" s="79" t="s">
        <v>233</v>
      </c>
      <c r="C9" s="79">
        <v>3.9</v>
      </c>
      <c r="D9" s="79">
        <v>1.62</v>
      </c>
      <c r="E9" s="79">
        <v>1.96</v>
      </c>
      <c r="F9" s="79">
        <v>21</v>
      </c>
      <c r="K9" s="106">
        <f>VALUE(RIGHT(B9,LEN(B9) - MIN(SEARCH({0,1,2,3,4,5,6,7,8,9}, B9&amp;"0123456789")) +1))</f>
        <v>1.99</v>
      </c>
      <c r="L9" s="108" t="str">
        <f t="shared" si="0"/>
        <v>BP</v>
      </c>
      <c r="R9" t="s">
        <v>232</v>
      </c>
      <c r="S9" t="s">
        <v>1414</v>
      </c>
      <c r="T9">
        <v>1.99</v>
      </c>
      <c r="U9">
        <v>3.9</v>
      </c>
      <c r="V9">
        <v>1.62</v>
      </c>
      <c r="W9">
        <v>1.96</v>
      </c>
      <c r="X9">
        <v>21</v>
      </c>
    </row>
    <row r="10" spans="1:24" ht="15.75">
      <c r="A10" s="79" t="s">
        <v>65</v>
      </c>
      <c r="B10" s="79" t="s">
        <v>234</v>
      </c>
      <c r="C10" s="79">
        <v>3.08</v>
      </c>
      <c r="D10" s="79">
        <v>1.1299999999999999</v>
      </c>
      <c r="E10" s="79">
        <v>1.18</v>
      </c>
      <c r="F10" s="79">
        <v>-4</v>
      </c>
      <c r="K10" s="106">
        <f>VALUE(RIGHT(B10,LEN(B10) - MIN(SEARCH({0,1,2,3,4,5,6,7,8,9}, B10&amp;"0123456789")) +1))</f>
        <v>3.63</v>
      </c>
      <c r="L10" s="108" t="str">
        <f t="shared" si="0"/>
        <v>C$</v>
      </c>
      <c r="R10" t="s">
        <v>65</v>
      </c>
      <c r="S10" t="s">
        <v>1415</v>
      </c>
      <c r="T10">
        <v>3.63</v>
      </c>
      <c r="U10">
        <v>3.08</v>
      </c>
      <c r="V10">
        <v>1.1299999999999999</v>
      </c>
      <c r="W10">
        <v>1.18</v>
      </c>
      <c r="X10">
        <v>-4</v>
      </c>
    </row>
    <row r="11" spans="1:24" ht="15.75">
      <c r="A11" s="79" t="s">
        <v>235</v>
      </c>
      <c r="B11" s="79" t="s">
        <v>236</v>
      </c>
      <c r="C11" s="79">
        <v>3.07</v>
      </c>
      <c r="D11" s="79">
        <v>519</v>
      </c>
      <c r="E11" s="79">
        <v>544</v>
      </c>
      <c r="F11" s="79">
        <v>-5</v>
      </c>
      <c r="K11" s="106">
        <f>VALUE(RIGHT(B11,LEN(B11) - MIN(SEARCH({0,1,2,3,4,5,6,7,8,9}, B11&amp;"0123456789")) +1))</f>
        <v>1670</v>
      </c>
      <c r="L11" s="108" t="str">
        <f t="shared" si="0"/>
        <v>Peso</v>
      </c>
      <c r="R11" t="s">
        <v>235</v>
      </c>
      <c r="S11" t="s">
        <v>1412</v>
      </c>
      <c r="T11">
        <v>1670</v>
      </c>
      <c r="U11">
        <v>3.07</v>
      </c>
      <c r="V11">
        <v>519</v>
      </c>
      <c r="W11">
        <v>544</v>
      </c>
      <c r="X11">
        <v>-5</v>
      </c>
    </row>
    <row r="12" spans="1:24" ht="15.75">
      <c r="A12" s="79" t="s">
        <v>155</v>
      </c>
      <c r="B12" s="79" t="s">
        <v>237</v>
      </c>
      <c r="C12" s="79">
        <v>1.41</v>
      </c>
      <c r="D12" s="79">
        <v>3.42</v>
      </c>
      <c r="E12" s="79">
        <v>7.77</v>
      </c>
      <c r="F12" s="79">
        <v>-56</v>
      </c>
      <c r="K12" s="106">
        <f>VALUE(RIGHT(B12,LEN(B12) - MIN(SEARCH({0,1,2,3,4,5,6,7,8,9}, B12&amp;"0123456789")) +1))</f>
        <v>11</v>
      </c>
      <c r="L12" s="108" t="str">
        <f t="shared" si="0"/>
        <v>Yuan</v>
      </c>
      <c r="R12" t="s">
        <v>155</v>
      </c>
      <c r="S12" t="s">
        <v>1416</v>
      </c>
      <c r="T12">
        <v>11</v>
      </c>
      <c r="U12">
        <v>1.41</v>
      </c>
      <c r="V12">
        <v>3.42</v>
      </c>
      <c r="W12">
        <v>7.77</v>
      </c>
      <c r="X12">
        <v>-56</v>
      </c>
    </row>
    <row r="13" spans="1:24" ht="15.75">
      <c r="A13" s="79" t="s">
        <v>238</v>
      </c>
      <c r="B13" s="79" t="s">
        <v>239</v>
      </c>
      <c r="C13" s="79">
        <v>2.41</v>
      </c>
      <c r="D13" s="79">
        <v>16.2</v>
      </c>
      <c r="E13" s="79">
        <v>21.6</v>
      </c>
      <c r="F13" s="79">
        <v>-25</v>
      </c>
      <c r="K13" s="106">
        <f>VALUE(RIGHT(B13,LEN(B13) - MIN(SEARCH({0,1,2,3,4,5,6,7,8,9}, B13&amp;"0123456789")) +1))</f>
        <v>52.1</v>
      </c>
      <c r="L13" s="108" t="str">
        <f t="shared" si="0"/>
        <v>Koruna</v>
      </c>
      <c r="R13" t="s">
        <v>238</v>
      </c>
      <c r="S13" t="s">
        <v>1417</v>
      </c>
      <c r="T13">
        <v>52.1</v>
      </c>
      <c r="U13">
        <v>2.41</v>
      </c>
      <c r="V13">
        <v>16.2</v>
      </c>
      <c r="W13">
        <v>21.6</v>
      </c>
      <c r="X13">
        <v>-25</v>
      </c>
    </row>
    <row r="14" spans="1:24" ht="15.75">
      <c r="A14" s="79" t="s">
        <v>240</v>
      </c>
      <c r="B14" s="79" t="s">
        <v>241</v>
      </c>
      <c r="C14" s="79">
        <v>4.84</v>
      </c>
      <c r="D14" s="79">
        <v>8.6199999999999992</v>
      </c>
      <c r="E14" s="79">
        <v>5.74</v>
      </c>
      <c r="F14" s="79">
        <v>50</v>
      </c>
      <c r="K14" s="106">
        <f>VALUE(RIGHT(B14,LEN(B14) - MIN(SEARCH({0,1,2,3,4,5,6,7,8,9}, B14&amp;"0123456789")) +1))</f>
        <v>27.75</v>
      </c>
      <c r="L14" s="108" t="str">
        <f t="shared" si="0"/>
        <v>DKr</v>
      </c>
      <c r="R14" t="s">
        <v>240</v>
      </c>
      <c r="S14" t="s">
        <v>1418</v>
      </c>
      <c r="T14">
        <v>27.75</v>
      </c>
      <c r="U14">
        <v>4.84</v>
      </c>
      <c r="V14">
        <v>8.6199999999999992</v>
      </c>
      <c r="W14">
        <v>5.74</v>
      </c>
      <c r="X14">
        <v>50</v>
      </c>
    </row>
    <row r="15" spans="1:24" ht="15.75">
      <c r="A15" s="79" t="s">
        <v>159</v>
      </c>
      <c r="B15" s="79" t="s">
        <v>242</v>
      </c>
      <c r="C15" s="79">
        <v>1.6</v>
      </c>
      <c r="D15" s="79">
        <v>2.82</v>
      </c>
      <c r="E15" s="79">
        <v>5.7</v>
      </c>
      <c r="F15" s="79">
        <v>-50</v>
      </c>
      <c r="K15" s="106">
        <f>VALUE(RIGHT(B15,LEN(B15) - MIN(SEARCH({0,1,2,3,4,5,6,7,8,9}, B15&amp;"0123456789")) +1))</f>
        <v>9.09</v>
      </c>
      <c r="L15" s="108" t="str">
        <f t="shared" si="0"/>
        <v>Pound</v>
      </c>
      <c r="R15" t="s">
        <v>159</v>
      </c>
      <c r="S15" t="s">
        <v>1419</v>
      </c>
      <c r="T15">
        <v>9.09</v>
      </c>
      <c r="U15">
        <v>1.6</v>
      </c>
      <c r="V15">
        <v>2.82</v>
      </c>
      <c r="W15">
        <v>5.7</v>
      </c>
      <c r="X15">
        <v>-50</v>
      </c>
    </row>
    <row r="16" spans="1:24" ht="15.75">
      <c r="A16" s="79" t="s">
        <v>243</v>
      </c>
      <c r="B16" s="79" t="s">
        <v>244</v>
      </c>
      <c r="C16" s="79">
        <v>3.82</v>
      </c>
      <c r="D16" s="79">
        <v>1.1000000000000001</v>
      </c>
      <c r="E16" s="79">
        <v>1.3</v>
      </c>
      <c r="F16" s="79">
        <v>19</v>
      </c>
      <c r="K16" s="106">
        <f>VALUE(RIGHT(B16,LEN(B16) - MIN(SEARCH({0,1,2,3,4,5,6,7,8,9}, B16&amp;"0123456789")) +1))</f>
        <v>2.94</v>
      </c>
      <c r="L16" s="108" t="str">
        <f t="shared" si="0"/>
        <v>EU</v>
      </c>
      <c r="R16" t="s">
        <v>243</v>
      </c>
      <c r="S16" t="s">
        <v>1420</v>
      </c>
      <c r="T16">
        <v>2.94</v>
      </c>
      <c r="U16">
        <v>3.82</v>
      </c>
      <c r="V16">
        <v>1.1000000000000001</v>
      </c>
      <c r="W16">
        <v>1.3</v>
      </c>
      <c r="X16">
        <v>19</v>
      </c>
    </row>
    <row r="17" spans="1:24" ht="15.75">
      <c r="A17" s="79" t="s">
        <v>245</v>
      </c>
      <c r="B17" s="79" t="s">
        <v>246</v>
      </c>
      <c r="C17" s="79">
        <v>1.54</v>
      </c>
      <c r="D17" s="79">
        <v>3.73</v>
      </c>
      <c r="E17" s="79">
        <v>7.81</v>
      </c>
      <c r="F17" s="79">
        <v>-52</v>
      </c>
      <c r="K17" s="106">
        <f>VALUE(RIGHT(B17,LEN(B17) - MIN(SEARCH({0,1,2,3,4,5,6,7,8,9}, B17&amp;"0123456789")) +1))</f>
        <v>12</v>
      </c>
      <c r="L17" s="108" t="str">
        <f t="shared" si="0"/>
        <v>US Dollar</v>
      </c>
      <c r="R17" t="s">
        <v>245</v>
      </c>
      <c r="S17" t="s">
        <v>1261</v>
      </c>
      <c r="T17">
        <v>12</v>
      </c>
      <c r="U17">
        <v>1.54</v>
      </c>
      <c r="V17">
        <v>3.73</v>
      </c>
      <c r="W17">
        <v>7.81</v>
      </c>
      <c r="X17">
        <v>-52</v>
      </c>
    </row>
    <row r="18" spans="1:24" ht="15.75">
      <c r="A18" s="79" t="s">
        <v>162</v>
      </c>
      <c r="B18" s="79" t="s">
        <v>247</v>
      </c>
      <c r="C18" s="79">
        <v>3</v>
      </c>
      <c r="D18" s="79">
        <v>183</v>
      </c>
      <c r="E18" s="79">
        <v>197</v>
      </c>
      <c r="F18" s="79">
        <v>-7</v>
      </c>
      <c r="K18" s="106">
        <f>VALUE(RIGHT(B18,LEN(B18) - MIN(SEARCH({0,1,2,3,4,5,6,7,8,9}, B18&amp;"0123456789")) +1))</f>
        <v>590</v>
      </c>
      <c r="L18" s="108" t="str">
        <f t="shared" si="0"/>
        <v>Forint</v>
      </c>
      <c r="R18" t="s">
        <v>162</v>
      </c>
      <c r="S18" t="s">
        <v>1421</v>
      </c>
      <c r="T18">
        <v>590</v>
      </c>
      <c r="U18">
        <v>3</v>
      </c>
      <c r="V18">
        <v>183</v>
      </c>
      <c r="W18">
        <v>197</v>
      </c>
      <c r="X18">
        <v>-7</v>
      </c>
    </row>
    <row r="19" spans="1:24" ht="15.75">
      <c r="A19" s="79" t="s">
        <v>248</v>
      </c>
      <c r="B19" s="79" t="s">
        <v>249</v>
      </c>
      <c r="C19" s="79">
        <v>7.44</v>
      </c>
      <c r="D19" s="79">
        <v>158</v>
      </c>
      <c r="E19" s="79">
        <v>68.400000000000006</v>
      </c>
      <c r="F19" s="79">
        <v>-131</v>
      </c>
      <c r="K19" s="106">
        <f>VALUE(RIGHT(B19,LEN(B19) - MIN(SEARCH({0,1,2,3,4,5,6,7,8,9}, B19&amp;"0123456789")) +1))</f>
        <v>509</v>
      </c>
      <c r="L19" s="108" t="str">
        <f t="shared" si="0"/>
        <v>Kronur</v>
      </c>
      <c r="R19" t="s">
        <v>248</v>
      </c>
      <c r="S19" t="s">
        <v>1422</v>
      </c>
      <c r="T19">
        <v>509</v>
      </c>
      <c r="U19">
        <v>7.44</v>
      </c>
      <c r="V19">
        <v>158</v>
      </c>
      <c r="W19">
        <v>68.400000000000006</v>
      </c>
      <c r="X19">
        <v>-131</v>
      </c>
    </row>
    <row r="20" spans="1:24" ht="15.75">
      <c r="A20" s="79" t="s">
        <v>164</v>
      </c>
      <c r="B20" s="79" t="s">
        <v>250</v>
      </c>
      <c r="C20" s="79">
        <v>1.75</v>
      </c>
      <c r="D20" s="79">
        <v>4938</v>
      </c>
      <c r="E20" s="79">
        <v>9100</v>
      </c>
      <c r="F20" s="79">
        <v>-46</v>
      </c>
      <c r="K20" s="106">
        <f>VALUE(RIGHT(B20,LEN(B20) - MIN(SEARCH({0,1,2,3,4,5,6,7,8,9}, B20&amp;"0123456789")) +1))</f>
        <v>15900</v>
      </c>
      <c r="L20" s="108" t="str">
        <f t="shared" si="0"/>
        <v>Rupiah</v>
      </c>
      <c r="R20" t="s">
        <v>164</v>
      </c>
      <c r="S20" t="s">
        <v>1423</v>
      </c>
      <c r="T20">
        <v>15900</v>
      </c>
      <c r="U20">
        <v>1.75</v>
      </c>
      <c r="V20">
        <v>4938</v>
      </c>
      <c r="W20">
        <v>9100</v>
      </c>
      <c r="X20">
        <v>-46</v>
      </c>
    </row>
    <row r="21" spans="1:24" ht="15.75">
      <c r="A21" s="79" t="s">
        <v>66</v>
      </c>
      <c r="B21" s="79" t="s">
        <v>251</v>
      </c>
      <c r="C21" s="79">
        <v>2.31</v>
      </c>
      <c r="D21" s="79">
        <v>87</v>
      </c>
      <c r="E21" s="79">
        <v>121</v>
      </c>
      <c r="F21" s="79">
        <v>-28</v>
      </c>
      <c r="K21" s="106">
        <f>VALUE(RIGHT(B21,LEN(B21) - MIN(SEARCH({0,1,2,3,4,5,6,7,8,9}, B21&amp;"0123456789")) +1))</f>
        <v>280</v>
      </c>
      <c r="L21" s="108" t="str">
        <f t="shared" si="0"/>
        <v>Yen</v>
      </c>
      <c r="R21" t="s">
        <v>66</v>
      </c>
      <c r="S21" t="s">
        <v>1241</v>
      </c>
      <c r="T21">
        <v>280</v>
      </c>
      <c r="U21">
        <v>2.31</v>
      </c>
      <c r="V21">
        <v>87</v>
      </c>
      <c r="W21">
        <v>121</v>
      </c>
      <c r="X21">
        <v>-28</v>
      </c>
    </row>
    <row r="22" spans="1:24" ht="15.75">
      <c r="A22" s="79" t="s">
        <v>252</v>
      </c>
      <c r="B22" s="79" t="s">
        <v>253</v>
      </c>
      <c r="C22" s="79">
        <v>2.52</v>
      </c>
      <c r="D22" s="79">
        <v>0.42</v>
      </c>
      <c r="E22" s="79">
        <v>0.54</v>
      </c>
      <c r="F22" s="79">
        <v>-22</v>
      </c>
      <c r="K22" s="106">
        <f>VALUE(RIGHT(B22,LEN(B22) - MIN(SEARCH({0,1,2,3,4,5,6,7,8,9}, B22&amp;"0123456789")) +1))</f>
        <v>1.35</v>
      </c>
      <c r="L22" s="108" t="str">
        <f t="shared" si="0"/>
        <v>Lats</v>
      </c>
      <c r="R22" t="s">
        <v>252</v>
      </c>
      <c r="S22" t="s">
        <v>1424</v>
      </c>
      <c r="T22">
        <v>1.35</v>
      </c>
      <c r="U22">
        <v>2.52</v>
      </c>
      <c r="V22">
        <v>0.42</v>
      </c>
      <c r="W22">
        <v>0.54</v>
      </c>
      <c r="X22">
        <v>-22</v>
      </c>
    </row>
    <row r="23" spans="1:24" ht="15.75">
      <c r="A23" s="79" t="s">
        <v>254</v>
      </c>
      <c r="B23" s="79" t="s">
        <v>255</v>
      </c>
      <c r="C23" s="79">
        <v>1.57</v>
      </c>
      <c r="D23" s="79">
        <v>1.71</v>
      </c>
      <c r="E23" s="79">
        <v>3.5</v>
      </c>
      <c r="F23" s="79">
        <v>-51</v>
      </c>
      <c r="K23" s="106">
        <f>VALUE(RIGHT(B23,LEN(B23) - MIN(SEARCH({0,1,2,3,4,5,6,7,8,9}, B23&amp;"0123456789")) +1))</f>
        <v>5.5</v>
      </c>
      <c r="L23" s="108" t="str">
        <f t="shared" si="0"/>
        <v>Ringgit</v>
      </c>
      <c r="R23" t="s">
        <v>254</v>
      </c>
      <c r="S23" t="s">
        <v>1425</v>
      </c>
      <c r="T23">
        <v>5.5</v>
      </c>
      <c r="U23">
        <v>1.57</v>
      </c>
      <c r="V23">
        <v>1.71</v>
      </c>
      <c r="W23">
        <v>3.5</v>
      </c>
      <c r="X23">
        <v>-51</v>
      </c>
    </row>
    <row r="24" spans="1:24" ht="15.75">
      <c r="A24" s="79" t="s">
        <v>165</v>
      </c>
      <c r="B24" s="79" t="s">
        <v>256</v>
      </c>
      <c r="C24" s="79">
        <v>2.66</v>
      </c>
      <c r="D24" s="79">
        <v>9.01</v>
      </c>
      <c r="E24" s="79">
        <v>10.9</v>
      </c>
      <c r="F24" s="79">
        <v>-17</v>
      </c>
      <c r="K24" s="106">
        <f>VALUE(RIGHT(B24,LEN(B24) - MIN(SEARCH({0,1,2,3,4,5,6,7,8,9}, B24&amp;"0123456789")) +1))</f>
        <v>29</v>
      </c>
      <c r="L24" s="108" t="str">
        <f t="shared" si="0"/>
        <v>Peso</v>
      </c>
      <c r="R24" t="s">
        <v>165</v>
      </c>
      <c r="S24" t="s">
        <v>1412</v>
      </c>
      <c r="T24">
        <v>29</v>
      </c>
      <c r="U24">
        <v>2.66</v>
      </c>
      <c r="V24">
        <v>9.01</v>
      </c>
      <c r="W24">
        <v>10.9</v>
      </c>
      <c r="X24">
        <v>-17</v>
      </c>
    </row>
    <row r="25" spans="1:24" ht="15.75">
      <c r="A25" s="79" t="s">
        <v>257</v>
      </c>
      <c r="B25" s="79" t="s">
        <v>258</v>
      </c>
      <c r="C25" s="79">
        <v>3.16</v>
      </c>
      <c r="D25" s="79">
        <v>1.43</v>
      </c>
      <c r="E25" s="79">
        <v>1.45</v>
      </c>
      <c r="F25" s="79">
        <v>-2</v>
      </c>
      <c r="K25" s="106">
        <f>VALUE(RIGHT(B25,LEN(B25) - MIN(SEARCH({0,1,2,3,4,5,6,7,8,9}, B25&amp;"0123456789")) +1))</f>
        <v>4.5999999999999996</v>
      </c>
      <c r="L25" s="108" t="str">
        <f t="shared" si="0"/>
        <v>US Dollar</v>
      </c>
      <c r="R25" t="s">
        <v>257</v>
      </c>
      <c r="S25" t="s">
        <v>1261</v>
      </c>
      <c r="T25">
        <v>4.5999999999999996</v>
      </c>
      <c r="U25">
        <v>3.16</v>
      </c>
      <c r="V25">
        <v>1.43</v>
      </c>
      <c r="W25">
        <v>1.45</v>
      </c>
      <c r="X25">
        <v>-2</v>
      </c>
    </row>
    <row r="26" spans="1:24" ht="15.75">
      <c r="A26" s="79" t="s">
        <v>259</v>
      </c>
      <c r="B26" s="79" t="s">
        <v>260</v>
      </c>
      <c r="C26" s="79">
        <v>6.63</v>
      </c>
      <c r="D26" s="79">
        <v>12.9</v>
      </c>
      <c r="E26" s="79">
        <v>6.26</v>
      </c>
      <c r="F26" s="79">
        <v>106</v>
      </c>
      <c r="K26" s="106">
        <f>VALUE(RIGHT(B26,LEN(B26) - MIN(SEARCH({0,1,2,3,4,5,6,7,8,9}, B26&amp;"0123456789")) +1))</f>
        <v>41.5</v>
      </c>
      <c r="L26" s="108" t="str">
        <f t="shared" si="0"/>
        <v>Kroner</v>
      </c>
      <c r="R26" t="s">
        <v>259</v>
      </c>
      <c r="S26" t="s">
        <v>1426</v>
      </c>
      <c r="T26">
        <v>41.5</v>
      </c>
      <c r="U26">
        <v>6.63</v>
      </c>
      <c r="V26">
        <v>12.9</v>
      </c>
      <c r="W26">
        <v>6.26</v>
      </c>
      <c r="X26">
        <v>106</v>
      </c>
    </row>
    <row r="27" spans="1:24" ht="15.75">
      <c r="A27" s="79" t="s">
        <v>167</v>
      </c>
      <c r="B27" s="79" t="s">
        <v>261</v>
      </c>
      <c r="C27" s="79">
        <v>2.31</v>
      </c>
      <c r="D27" s="79">
        <v>43.5</v>
      </c>
      <c r="E27" s="79">
        <v>60.7</v>
      </c>
      <c r="F27" s="79">
        <v>-28</v>
      </c>
      <c r="K27" s="106">
        <f>VALUE(RIGHT(B27,LEN(B27) - MIN(SEARCH({0,1,2,3,4,5,6,7,8,9}, B27&amp;"0123456789")) +1))</f>
        <v>140</v>
      </c>
      <c r="L27" s="108" t="str">
        <f t="shared" si="0"/>
        <v>Rupee</v>
      </c>
      <c r="R27" t="s">
        <v>167</v>
      </c>
      <c r="S27" t="s">
        <v>1427</v>
      </c>
      <c r="T27">
        <v>140</v>
      </c>
      <c r="U27">
        <v>2.31</v>
      </c>
      <c r="V27">
        <v>43.5</v>
      </c>
      <c r="W27">
        <v>60.7</v>
      </c>
      <c r="X27">
        <v>-28</v>
      </c>
    </row>
    <row r="28" spans="1:24" ht="15.75">
      <c r="A28" s="79" t="s">
        <v>262</v>
      </c>
      <c r="B28" s="79" t="s">
        <v>263</v>
      </c>
      <c r="C28" s="79">
        <v>1.9</v>
      </c>
      <c r="D28" s="79">
        <v>3106</v>
      </c>
      <c r="E28" s="79">
        <v>5250</v>
      </c>
      <c r="F28" s="79">
        <v>-41</v>
      </c>
      <c r="K28" s="106">
        <f>VALUE(RIGHT(B28,LEN(B28) - MIN(SEARCH({0,1,2,3,4,5,6,7,8,9}, B28&amp;"0123456789")) +1))</f>
        <v>10000</v>
      </c>
      <c r="L28" s="108" t="str">
        <f t="shared" si="0"/>
        <v>Guarani</v>
      </c>
      <c r="R28" t="s">
        <v>262</v>
      </c>
      <c r="S28" t="s">
        <v>1428</v>
      </c>
      <c r="T28">
        <v>10000</v>
      </c>
      <c r="U28">
        <v>1.9</v>
      </c>
      <c r="V28">
        <v>3106</v>
      </c>
      <c r="W28">
        <v>5250</v>
      </c>
      <c r="X28">
        <v>-41</v>
      </c>
    </row>
    <row r="29" spans="1:24" ht="15.75">
      <c r="A29" s="79" t="s">
        <v>264</v>
      </c>
      <c r="B29" s="107" t="s">
        <v>1408</v>
      </c>
      <c r="C29" s="79">
        <v>2.97</v>
      </c>
      <c r="D29" s="79">
        <v>2.95</v>
      </c>
      <c r="E29" s="79">
        <v>3.2</v>
      </c>
      <c r="F29" s="79">
        <v>-8</v>
      </c>
      <c r="K29" s="106">
        <f>VALUE(RIGHT(B29,LEN(B29) - MIN(SEARCH({0,1,2,3,4,5,6,7,8,9}, B29&amp;"0123456789")) +1))</f>
        <v>9.5</v>
      </c>
      <c r="L29" s="108" t="str">
        <f t="shared" si="0"/>
        <v>NewSol</v>
      </c>
      <c r="R29" t="s">
        <v>264</v>
      </c>
      <c r="S29" t="s">
        <v>1429</v>
      </c>
      <c r="T29">
        <v>9.5</v>
      </c>
      <c r="U29">
        <v>2.97</v>
      </c>
      <c r="V29">
        <v>2.95</v>
      </c>
      <c r="W29">
        <v>3.2</v>
      </c>
      <c r="X29">
        <v>-8</v>
      </c>
    </row>
    <row r="30" spans="1:24" ht="15.75">
      <c r="A30" s="79" t="s">
        <v>265</v>
      </c>
      <c r="B30" s="79" t="s">
        <v>266</v>
      </c>
      <c r="C30" s="79">
        <v>1.74</v>
      </c>
      <c r="D30" s="79">
        <v>26.4</v>
      </c>
      <c r="E30" s="79">
        <v>48.9</v>
      </c>
      <c r="F30" s="79">
        <v>-46</v>
      </c>
      <c r="K30" s="106">
        <f>VALUE(RIGHT(B30,LEN(B30) - MIN(SEARCH({0,1,2,3,4,5,6,7,8,9}, B30&amp;"0123456789")) +1))</f>
        <v>85</v>
      </c>
      <c r="L30" s="108" t="str">
        <f t="shared" si="0"/>
        <v>Peso</v>
      </c>
      <c r="R30" t="s">
        <v>265</v>
      </c>
      <c r="S30" t="s">
        <v>1412</v>
      </c>
      <c r="T30">
        <v>85</v>
      </c>
      <c r="U30">
        <v>1.74</v>
      </c>
      <c r="V30">
        <v>26.4</v>
      </c>
      <c r="W30">
        <v>48.9</v>
      </c>
      <c r="X30">
        <v>-46</v>
      </c>
    </row>
    <row r="31" spans="1:24" ht="15.75">
      <c r="A31" s="79" t="s">
        <v>168</v>
      </c>
      <c r="B31" s="79" t="s">
        <v>267</v>
      </c>
      <c r="C31" s="79">
        <v>2.29</v>
      </c>
      <c r="D31" s="79">
        <v>2.14</v>
      </c>
      <c r="E31" s="79">
        <v>3.01</v>
      </c>
      <c r="F31" s="79">
        <v>-29</v>
      </c>
      <c r="K31" s="106">
        <f>VALUE(RIGHT(B31,LEN(B31) - MIN(SEARCH({0,1,2,3,4,5,6,7,8,9}, B31&amp;"0123456789")) +1))</f>
        <v>6.9</v>
      </c>
      <c r="L31" s="108" t="str">
        <f>IFERROR(LEFT(B31,FIND(" ",B31)-1),"US Dollar")</f>
        <v>Zloty</v>
      </c>
      <c r="R31" t="s">
        <v>168</v>
      </c>
      <c r="S31" t="s">
        <v>1430</v>
      </c>
      <c r="T31">
        <v>6.9</v>
      </c>
      <c r="U31">
        <v>2.29</v>
      </c>
      <c r="V31">
        <v>2.14</v>
      </c>
      <c r="W31">
        <v>3.01</v>
      </c>
      <c r="X31">
        <v>-29</v>
      </c>
    </row>
    <row r="32" spans="1:24" ht="15.75">
      <c r="A32" s="79" t="s">
        <v>169</v>
      </c>
      <c r="B32" s="79" t="s">
        <v>268</v>
      </c>
      <c r="C32" s="79">
        <v>1.85</v>
      </c>
      <c r="D32" s="79">
        <v>15.2</v>
      </c>
      <c r="E32" s="79">
        <v>26.5</v>
      </c>
      <c r="F32" s="79">
        <v>-43</v>
      </c>
      <c r="K32" s="106">
        <f>VALUE(RIGHT(B32,LEN(B32) - MIN(SEARCH({0,1,2,3,4,5,6,7,8,9}, B32&amp;"0123456789")) +1))</f>
        <v>49</v>
      </c>
      <c r="L32" s="108" t="str">
        <f>IFERROR(LEFT(B32,FIND(" ",B32)-1),"US Dollar")</f>
        <v>Rouble</v>
      </c>
      <c r="R32" t="s">
        <v>169</v>
      </c>
      <c r="S32" t="s">
        <v>1431</v>
      </c>
      <c r="T32">
        <v>49</v>
      </c>
      <c r="U32">
        <v>1.85</v>
      </c>
      <c r="V32">
        <v>15.2</v>
      </c>
      <c r="W32">
        <v>26.5</v>
      </c>
      <c r="X32">
        <v>-43</v>
      </c>
    </row>
    <row r="33" spans="1:24" ht="15.75">
      <c r="A33" s="79" t="s">
        <v>269</v>
      </c>
      <c r="B33" s="79" t="s">
        <v>270</v>
      </c>
      <c r="C33" s="79">
        <v>2.4</v>
      </c>
      <c r="D33" s="79">
        <v>2.8</v>
      </c>
      <c r="E33" s="79">
        <v>3.75</v>
      </c>
      <c r="F33" s="79">
        <v>-25</v>
      </c>
      <c r="K33" s="106">
        <f>VALUE(RIGHT(B33,LEN(B33) - MIN(SEARCH({0,1,2,3,4,5,6,7,8,9}, B33&amp;"0123456789")) +1))</f>
        <v>9</v>
      </c>
      <c r="L33" s="108" t="str">
        <f t="shared" ref="L33:L42" si="1">IFERROR(LEFT(B33,FIND(" ",B33)-1),"US Dollar")</f>
        <v>Riyal</v>
      </c>
      <c r="R33" t="s">
        <v>269</v>
      </c>
      <c r="S33" t="s">
        <v>1432</v>
      </c>
      <c r="T33">
        <v>9</v>
      </c>
      <c r="U33">
        <v>2.4</v>
      </c>
      <c r="V33">
        <v>2.8</v>
      </c>
      <c r="W33">
        <v>3.75</v>
      </c>
      <c r="X33">
        <v>-25</v>
      </c>
    </row>
    <row r="34" spans="1:24" ht="15.75">
      <c r="A34" s="79" t="s">
        <v>271</v>
      </c>
      <c r="B34" s="79" t="s">
        <v>272</v>
      </c>
      <c r="C34" s="79">
        <v>2.34</v>
      </c>
      <c r="D34" s="79">
        <v>1.1200000000000001</v>
      </c>
      <c r="E34" s="79">
        <v>1.54</v>
      </c>
      <c r="F34" s="79">
        <v>-27</v>
      </c>
      <c r="K34" s="106">
        <f>VALUE(RIGHT(B34,LEN(B34) - MIN(SEARCH({0,1,2,3,4,5,6,7,8,9}, B34&amp;"0123456789")) +1))</f>
        <v>3.6</v>
      </c>
      <c r="L34" s="108" t="str">
        <f t="shared" si="1"/>
        <v>S</v>
      </c>
      <c r="R34" t="s">
        <v>271</v>
      </c>
      <c r="S34" t="s">
        <v>690</v>
      </c>
      <c r="T34">
        <v>3.6</v>
      </c>
      <c r="U34">
        <v>2.34</v>
      </c>
      <c r="V34">
        <v>1.1200000000000001</v>
      </c>
      <c r="W34">
        <v>1.54</v>
      </c>
      <c r="X34">
        <v>-27</v>
      </c>
    </row>
    <row r="35" spans="1:24" ht="15.75">
      <c r="A35" s="79" t="s">
        <v>273</v>
      </c>
      <c r="B35" s="79" t="s">
        <v>274</v>
      </c>
      <c r="C35" s="79">
        <v>2.13</v>
      </c>
      <c r="D35" s="79">
        <v>18</v>
      </c>
      <c r="E35" s="79">
        <v>27.2</v>
      </c>
      <c r="F35" s="79">
        <v>-34</v>
      </c>
      <c r="K35" s="106">
        <f>VALUE(RIGHT(B35,LEN(B35) - MIN(SEARCH({0,1,2,3,4,5,6,7,8,9}, B35&amp;"0123456789")) +1))</f>
        <v>57.98</v>
      </c>
      <c r="L35" s="108" t="str">
        <f t="shared" si="1"/>
        <v>Crown</v>
      </c>
      <c r="R35" t="s">
        <v>273</v>
      </c>
      <c r="S35" t="s">
        <v>1433</v>
      </c>
      <c r="T35">
        <v>57.98</v>
      </c>
      <c r="U35">
        <v>2.13</v>
      </c>
      <c r="V35">
        <v>18</v>
      </c>
      <c r="W35">
        <v>27.2</v>
      </c>
      <c r="X35">
        <v>-34</v>
      </c>
    </row>
    <row r="36" spans="1:24" ht="15.75">
      <c r="A36" s="79" t="s">
        <v>275</v>
      </c>
      <c r="B36" s="79" t="s">
        <v>276</v>
      </c>
      <c r="C36" s="79">
        <v>2.14</v>
      </c>
      <c r="D36" s="79">
        <v>4.8099999999999996</v>
      </c>
      <c r="E36" s="79">
        <v>7.25</v>
      </c>
      <c r="F36" s="79">
        <v>-34</v>
      </c>
      <c r="K36" s="106">
        <f>VALUE(RIGHT(B36,LEN(B36) - MIN(SEARCH({0,1,2,3,4,5,6,7,8,9}, B36&amp;"0123456789")) +1))</f>
        <v>15.5</v>
      </c>
      <c r="L36" s="108" t="str">
        <f t="shared" si="1"/>
        <v>Rand</v>
      </c>
      <c r="R36" t="s">
        <v>275</v>
      </c>
      <c r="S36" t="s">
        <v>1434</v>
      </c>
      <c r="T36">
        <v>15.5</v>
      </c>
      <c r="U36">
        <v>2.14</v>
      </c>
      <c r="V36">
        <v>4.8099999999999996</v>
      </c>
      <c r="W36">
        <v>7.25</v>
      </c>
      <c r="X36">
        <v>-34</v>
      </c>
    </row>
    <row r="37" spans="1:24" ht="15.75">
      <c r="A37" s="79" t="s">
        <v>277</v>
      </c>
      <c r="B37" s="79" t="s">
        <v>278</v>
      </c>
      <c r="C37" s="79">
        <v>3.08</v>
      </c>
      <c r="D37" s="79">
        <v>901</v>
      </c>
      <c r="E37" s="79">
        <v>942</v>
      </c>
      <c r="F37" s="79">
        <v>-4</v>
      </c>
      <c r="K37" s="106">
        <f>VALUE(RIGHT(B37,LEN(B37) - MIN(SEARCH({0,1,2,3,4,5,6,7,8,9}, B37&amp;"0123456789")) +1))</f>
        <v>2900</v>
      </c>
      <c r="L37" s="108" t="str">
        <f t="shared" si="1"/>
        <v>Won</v>
      </c>
      <c r="R37" t="s">
        <v>277</v>
      </c>
      <c r="S37" t="s">
        <v>1435</v>
      </c>
      <c r="T37">
        <v>2900</v>
      </c>
      <c r="U37">
        <v>3.08</v>
      </c>
      <c r="V37">
        <v>901</v>
      </c>
      <c r="W37">
        <v>942</v>
      </c>
      <c r="X37">
        <v>-4</v>
      </c>
    </row>
    <row r="38" spans="1:24" ht="15.75">
      <c r="A38" s="79" t="s">
        <v>279</v>
      </c>
      <c r="B38" s="79" t="s">
        <v>280</v>
      </c>
      <c r="C38" s="79">
        <v>1.75</v>
      </c>
      <c r="D38" s="79">
        <v>59</v>
      </c>
      <c r="E38" s="79">
        <v>109</v>
      </c>
      <c r="F38" s="79">
        <v>-46</v>
      </c>
      <c r="K38" s="106">
        <f>VALUE(RIGHT(B38,LEN(B38) - MIN(SEARCH({0,1,2,3,4,5,6,7,8,9}, B38&amp;"0123456789")) +1))</f>
        <v>190</v>
      </c>
      <c r="L38" s="108" t="str">
        <f t="shared" si="1"/>
        <v>Rupee</v>
      </c>
      <c r="R38" t="s">
        <v>279</v>
      </c>
      <c r="S38" t="s">
        <v>1427</v>
      </c>
      <c r="T38">
        <v>190</v>
      </c>
      <c r="U38">
        <v>1.75</v>
      </c>
      <c r="V38">
        <v>59</v>
      </c>
      <c r="W38">
        <v>109</v>
      </c>
      <c r="X38">
        <v>-46</v>
      </c>
    </row>
    <row r="39" spans="1:24" ht="15.75">
      <c r="A39" s="79" t="s">
        <v>173</v>
      </c>
      <c r="B39" s="79" t="s">
        <v>281</v>
      </c>
      <c r="C39" s="79">
        <v>4.59</v>
      </c>
      <c r="D39" s="79">
        <v>9.94</v>
      </c>
      <c r="E39" s="79">
        <v>6.97</v>
      </c>
      <c r="F39" s="79">
        <v>43</v>
      </c>
      <c r="K39" s="106">
        <f>VALUE(RIGHT(B39,LEN(B39) - MIN(SEARCH({0,1,2,3,4,5,6,7,8,9}, B39&amp;"0123456789")) +1))</f>
        <v>32</v>
      </c>
      <c r="L39" s="108" t="str">
        <f t="shared" si="1"/>
        <v>SKr</v>
      </c>
      <c r="R39" t="s">
        <v>173</v>
      </c>
      <c r="S39" t="s">
        <v>1436</v>
      </c>
      <c r="T39">
        <v>32</v>
      </c>
      <c r="U39">
        <v>4.59</v>
      </c>
      <c r="V39">
        <v>9.94</v>
      </c>
      <c r="W39">
        <v>6.97</v>
      </c>
      <c r="X39">
        <v>43</v>
      </c>
    </row>
    <row r="40" spans="1:24" ht="15.75">
      <c r="A40" s="79" t="s">
        <v>174</v>
      </c>
      <c r="B40" s="79" t="s">
        <v>282</v>
      </c>
      <c r="C40" s="79">
        <v>5.05</v>
      </c>
      <c r="D40" s="79">
        <v>1.96</v>
      </c>
      <c r="E40" s="79">
        <v>1.25</v>
      </c>
      <c r="F40" s="79">
        <v>57</v>
      </c>
      <c r="K40" s="106">
        <f>VALUE(RIGHT(B40,LEN(B40) - MIN(SEARCH({0,1,2,3,4,5,6,7,8,9}, B40&amp;"0123456789")) +1))</f>
        <v>6.3</v>
      </c>
      <c r="L40" s="108" t="str">
        <f t="shared" si="1"/>
        <v>SFr</v>
      </c>
      <c r="R40" t="s">
        <v>174</v>
      </c>
      <c r="S40" t="s">
        <v>1437</v>
      </c>
      <c r="T40">
        <v>6.3</v>
      </c>
      <c r="U40">
        <v>5.05</v>
      </c>
      <c r="V40">
        <v>1.96</v>
      </c>
      <c r="W40">
        <v>1.25</v>
      </c>
      <c r="X40">
        <v>57</v>
      </c>
    </row>
    <row r="41" spans="1:24" ht="15.75">
      <c r="A41" s="79" t="s">
        <v>283</v>
      </c>
      <c r="B41" s="107" t="s">
        <v>1409</v>
      </c>
      <c r="C41" s="79">
        <v>2.2799999999999998</v>
      </c>
      <c r="D41" s="79">
        <v>23.3</v>
      </c>
      <c r="E41" s="79">
        <v>32.9</v>
      </c>
      <c r="F41" s="79">
        <v>-29</v>
      </c>
      <c r="K41" s="106">
        <f>VALUE(RIGHT(B41,LEN(B41) - MIN(SEARCH({0,1,2,3,4,5,6,7,8,9}, B41&amp;"0123456789")) +1))</f>
        <v>75</v>
      </c>
      <c r="L41" s="108" t="str">
        <f t="shared" si="1"/>
        <v>NT$</v>
      </c>
      <c r="R41" t="s">
        <v>283</v>
      </c>
      <c r="S41" t="s">
        <v>1438</v>
      </c>
      <c r="T41">
        <v>75</v>
      </c>
      <c r="U41">
        <v>2.2799999999999998</v>
      </c>
      <c r="V41">
        <v>23.3</v>
      </c>
      <c r="W41">
        <v>32.9</v>
      </c>
      <c r="X41">
        <v>-29</v>
      </c>
    </row>
    <row r="42" spans="1:24" ht="15.75">
      <c r="A42" s="79" t="s">
        <v>175</v>
      </c>
      <c r="B42" s="79" t="s">
        <v>284</v>
      </c>
      <c r="C42" s="79">
        <v>1.78</v>
      </c>
      <c r="D42" s="79">
        <v>19.3</v>
      </c>
      <c r="E42" s="79">
        <v>34.700000000000003</v>
      </c>
      <c r="F42" s="79">
        <v>-45</v>
      </c>
      <c r="K42" s="106">
        <f>VALUE(RIGHT(B42,LEN(B42) - MIN(SEARCH({0,1,2,3,4,5,6,7,8,9}, B42&amp;"0123456789")) +1))</f>
        <v>62</v>
      </c>
      <c r="L42" s="108" t="str">
        <f t="shared" si="1"/>
        <v>Baht</v>
      </c>
      <c r="R42" t="s">
        <v>175</v>
      </c>
      <c r="S42" t="s">
        <v>1439</v>
      </c>
      <c r="T42">
        <v>62</v>
      </c>
      <c r="U42">
        <v>1.78</v>
      </c>
      <c r="V42">
        <v>19.3</v>
      </c>
      <c r="W42">
        <v>34.700000000000003</v>
      </c>
      <c r="X42">
        <v>-45</v>
      </c>
    </row>
    <row r="43" spans="1:24" ht="15.75">
      <c r="A43" s="79" t="s">
        <v>285</v>
      </c>
      <c r="B43" s="79" t="s">
        <v>286</v>
      </c>
      <c r="C43" s="79">
        <v>3.22</v>
      </c>
      <c r="D43" s="79">
        <v>1.41</v>
      </c>
      <c r="E43" s="79">
        <v>1.41</v>
      </c>
      <c r="F43" s="79">
        <v>0</v>
      </c>
      <c r="K43" s="106">
        <f>VALUE(RIGHT(B43,LEN(B43) - MIN(SEARCH({0,1,2,3,4,5,6,7,8,9}, B43&amp;"0123456789")) +1))</f>
        <v>4.55</v>
      </c>
      <c r="L43" s="108" t="str">
        <f>IFERROR(LEFT(B43,FIND(" ",B43)-1),"US Dollar")</f>
        <v>Lire</v>
      </c>
      <c r="R43" t="s">
        <v>285</v>
      </c>
      <c r="S43" t="s">
        <v>1440</v>
      </c>
      <c r="T43">
        <v>4.55</v>
      </c>
      <c r="U43">
        <v>3.22</v>
      </c>
      <c r="V43">
        <v>1.41</v>
      </c>
      <c r="W43">
        <v>1.41</v>
      </c>
      <c r="X43">
        <v>0</v>
      </c>
    </row>
    <row r="44" spans="1:24" ht="15.75">
      <c r="A44" s="79" t="s">
        <v>287</v>
      </c>
      <c r="B44" s="79" t="s">
        <v>288</v>
      </c>
      <c r="C44" s="79">
        <v>1.71</v>
      </c>
      <c r="D44" s="79">
        <v>2.8</v>
      </c>
      <c r="E44" s="79">
        <v>5.27</v>
      </c>
      <c r="F44" s="79">
        <v>-47</v>
      </c>
      <c r="K44" s="106">
        <f>VALUE(RIGHT(B44,LEN(B44) - MIN(SEARCH({0,1,2,3,4,5,6,7,8,9}, B44&amp;"0123456789")) +1))</f>
        <v>9</v>
      </c>
      <c r="L44" s="108" t="str">
        <f>IFERROR(LEFT(B44,FIND(" ",B44)-1),"US Dollar")</f>
        <v>Hryvnia</v>
      </c>
      <c r="R44" t="s">
        <v>287</v>
      </c>
      <c r="S44" t="s">
        <v>1441</v>
      </c>
      <c r="T44">
        <v>9</v>
      </c>
      <c r="U44">
        <v>1.71</v>
      </c>
      <c r="V44">
        <v>2.8</v>
      </c>
      <c r="W44">
        <v>5.27</v>
      </c>
      <c r="X44">
        <v>-47</v>
      </c>
    </row>
    <row r="45" spans="1:24" ht="15.75">
      <c r="A45" s="79" t="s">
        <v>289</v>
      </c>
      <c r="B45" s="79" t="s">
        <v>290</v>
      </c>
      <c r="C45" s="79">
        <v>2.17</v>
      </c>
      <c r="D45" s="79">
        <v>17.100000000000001</v>
      </c>
      <c r="E45" s="79">
        <v>25.3</v>
      </c>
      <c r="F45" s="79">
        <v>-33</v>
      </c>
      <c r="K45" s="106">
        <f>VALUE(RIGHT(B45,LEN(B45) - MIN(SEARCH({0,1,2,3,4,5,6,7,8,9}, B45&amp;"0123456789")) +1))</f>
        <v>55</v>
      </c>
      <c r="L45" s="108" t="str">
        <f t="shared" ref="L45:L46" si="2">IFERROR(LEFT(B45,FIND(" ",B45)-1),"US Dollar")</f>
        <v>Peso</v>
      </c>
      <c r="R45" t="s">
        <v>289</v>
      </c>
      <c r="S45" t="s">
        <v>1412</v>
      </c>
      <c r="T45">
        <v>55</v>
      </c>
      <c r="U45">
        <v>2.17</v>
      </c>
      <c r="V45">
        <v>17.100000000000001</v>
      </c>
      <c r="W45">
        <v>25.3</v>
      </c>
      <c r="X45">
        <v>-33</v>
      </c>
    </row>
    <row r="46" spans="1:24" ht="15.75">
      <c r="A46" s="79" t="s">
        <v>176</v>
      </c>
      <c r="B46" s="79" t="s">
        <v>291</v>
      </c>
      <c r="C46" s="79">
        <v>1.58</v>
      </c>
      <c r="D46" s="79">
        <v>2112</v>
      </c>
      <c r="E46" s="79">
        <v>4307</v>
      </c>
      <c r="F46" s="79">
        <v>-51</v>
      </c>
      <c r="K46" s="106">
        <f>VALUE(RIGHT(B46,LEN(B46) - MIN(SEARCH({0,1,2,3,4,5,6,7,8,9}, B46&amp;"0123456789")) +1))</f>
        <v>6800</v>
      </c>
      <c r="L46" s="108" t="str">
        <f t="shared" si="2"/>
        <v>Bolivar</v>
      </c>
      <c r="R46" t="s">
        <v>176</v>
      </c>
      <c r="S46" t="s">
        <v>1442</v>
      </c>
      <c r="T46">
        <v>6800</v>
      </c>
      <c r="U46">
        <v>1.58</v>
      </c>
      <c r="V46">
        <v>2112</v>
      </c>
      <c r="W46">
        <v>4307</v>
      </c>
      <c r="X46">
        <v>-51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D502-8DD1-4964-9FA1-99206FB89169}">
  <dimension ref="A1:AA56"/>
  <sheetViews>
    <sheetView workbookViewId="0">
      <selection activeCell="Z22" sqref="Z22:Z33"/>
    </sheetView>
  </sheetViews>
  <sheetFormatPr defaultRowHeight="15"/>
  <sheetData>
    <row r="1" spans="1:27">
      <c r="A1" t="s">
        <v>348</v>
      </c>
      <c r="K1" t="s">
        <v>1309</v>
      </c>
      <c r="L1" t="s">
        <v>1309</v>
      </c>
      <c r="R1" t="s">
        <v>1313</v>
      </c>
    </row>
    <row r="2" spans="1:27">
      <c r="A2" t="s">
        <v>63</v>
      </c>
      <c r="B2" t="s">
        <v>197</v>
      </c>
      <c r="C2" t="s">
        <v>349</v>
      </c>
      <c r="J2" s="104" t="s">
        <v>1267</v>
      </c>
      <c r="K2" s="105">
        <v>100</v>
      </c>
      <c r="R2" t="s">
        <v>63</v>
      </c>
      <c r="S2" t="s">
        <v>1314</v>
      </c>
    </row>
    <row r="3" spans="1:27">
      <c r="A3">
        <v>1980</v>
      </c>
      <c r="B3">
        <v>82.4</v>
      </c>
      <c r="C3">
        <v>88</v>
      </c>
      <c r="J3" s="104" t="s">
        <v>1268</v>
      </c>
      <c r="K3" s="105">
        <v>105.6</v>
      </c>
      <c r="S3" t="s">
        <v>1315</v>
      </c>
      <c r="T3" t="s">
        <v>1316</v>
      </c>
      <c r="U3" t="s">
        <v>1317</v>
      </c>
      <c r="V3" t="s">
        <v>12</v>
      </c>
      <c r="X3">
        <v>186</v>
      </c>
      <c r="Y3">
        <v>100</v>
      </c>
    </row>
    <row r="4" spans="1:27">
      <c r="A4">
        <v>1981</v>
      </c>
      <c r="B4">
        <v>90.9</v>
      </c>
      <c r="C4">
        <v>96.1</v>
      </c>
      <c r="J4" s="104" t="s">
        <v>1269</v>
      </c>
      <c r="K4" s="105">
        <v>116.2</v>
      </c>
      <c r="R4">
        <v>1</v>
      </c>
      <c r="S4">
        <v>2</v>
      </c>
      <c r="T4">
        <v>3</v>
      </c>
      <c r="U4">
        <v>4</v>
      </c>
      <c r="V4">
        <v>5</v>
      </c>
      <c r="X4" t="s">
        <v>1328</v>
      </c>
      <c r="Y4" t="s">
        <v>1312</v>
      </c>
    </row>
    <row r="5" spans="1:27">
      <c r="A5">
        <v>1982</v>
      </c>
      <c r="B5">
        <v>96.5</v>
      </c>
      <c r="C5">
        <v>100</v>
      </c>
      <c r="F5">
        <v>100</v>
      </c>
      <c r="G5">
        <v>281.3</v>
      </c>
      <c r="J5" s="104" t="s">
        <v>1270</v>
      </c>
      <c r="K5" s="105">
        <v>139.69999999999999</v>
      </c>
      <c r="R5" t="s">
        <v>1318</v>
      </c>
    </row>
    <row r="6" spans="1:27">
      <c r="A6">
        <v>1983</v>
      </c>
      <c r="B6">
        <v>99.6</v>
      </c>
      <c r="C6">
        <v>101.6</v>
      </c>
      <c r="F6">
        <v>104.9</v>
      </c>
      <c r="G6" t="s">
        <v>1312</v>
      </c>
      <c r="J6" s="104" t="s">
        <v>1271</v>
      </c>
      <c r="K6" s="105">
        <v>174.9</v>
      </c>
      <c r="R6" t="s">
        <v>1267</v>
      </c>
      <c r="S6">
        <v>186</v>
      </c>
      <c r="T6">
        <v>202</v>
      </c>
      <c r="U6">
        <v>174</v>
      </c>
      <c r="V6">
        <v>194</v>
      </c>
      <c r="X6">
        <v>100</v>
      </c>
      <c r="Y6">
        <v>100</v>
      </c>
      <c r="Z6">
        <v>100</v>
      </c>
      <c r="AA6">
        <v>100</v>
      </c>
    </row>
    <row r="7" spans="1:27">
      <c r="A7">
        <v>1984</v>
      </c>
      <c r="B7">
        <v>103.9</v>
      </c>
      <c r="C7">
        <v>103.7</v>
      </c>
      <c r="J7" s="104" t="s">
        <v>1272</v>
      </c>
      <c r="K7" s="105">
        <v>173</v>
      </c>
      <c r="R7" t="s">
        <v>1268</v>
      </c>
      <c r="S7">
        <v>192</v>
      </c>
      <c r="T7">
        <v>205</v>
      </c>
      <c r="U7">
        <v>180</v>
      </c>
      <c r="V7">
        <v>196</v>
      </c>
      <c r="X7">
        <f>S7*100/$S$6</f>
        <v>103.2258064516129</v>
      </c>
      <c r="Y7">
        <f t="shared" ref="Y7:AA19" si="0">T7*100/$S$6</f>
        <v>110.21505376344086</v>
      </c>
      <c r="Z7">
        <f t="shared" si="0"/>
        <v>96.774193548387103</v>
      </c>
      <c r="AA7">
        <f t="shared" si="0"/>
        <v>105.3763440860215</v>
      </c>
    </row>
    <row r="8" spans="1:27">
      <c r="A8">
        <v>1985</v>
      </c>
      <c r="B8">
        <v>107.6</v>
      </c>
      <c r="C8">
        <v>104.7</v>
      </c>
      <c r="J8" s="104" t="s">
        <v>1273</v>
      </c>
      <c r="K8" s="105">
        <v>176.6</v>
      </c>
      <c r="R8" t="s">
        <v>1269</v>
      </c>
      <c r="S8">
        <v>207</v>
      </c>
      <c r="T8">
        <v>223</v>
      </c>
      <c r="U8">
        <v>192</v>
      </c>
      <c r="V8">
        <v>217</v>
      </c>
      <c r="X8">
        <f t="shared" ref="X8:X19" si="1">S8*100/$S$6</f>
        <v>111.29032258064517</v>
      </c>
      <c r="Y8">
        <f t="shared" si="0"/>
        <v>119.89247311827957</v>
      </c>
      <c r="Z8">
        <f t="shared" si="0"/>
        <v>103.2258064516129</v>
      </c>
      <c r="AA8">
        <f t="shared" si="0"/>
        <v>116.66666666666667</v>
      </c>
    </row>
    <row r="9" spans="1:27">
      <c r="A9">
        <v>1986</v>
      </c>
      <c r="B9">
        <v>109.6</v>
      </c>
      <c r="C9">
        <v>103.2</v>
      </c>
      <c r="J9" s="104" t="s">
        <v>1274</v>
      </c>
      <c r="K9" s="105">
        <v>185.8</v>
      </c>
      <c r="R9" t="s">
        <v>1270</v>
      </c>
      <c r="S9">
        <v>250</v>
      </c>
      <c r="T9">
        <v>279</v>
      </c>
      <c r="U9">
        <v>221</v>
      </c>
      <c r="V9">
        <v>263</v>
      </c>
      <c r="X9">
        <f t="shared" si="1"/>
        <v>134.40860215053763</v>
      </c>
      <c r="Y9">
        <f t="shared" si="0"/>
        <v>150</v>
      </c>
      <c r="Z9">
        <f t="shared" si="0"/>
        <v>118.81720430107526</v>
      </c>
      <c r="AA9">
        <f t="shared" si="0"/>
        <v>141.3978494623656</v>
      </c>
    </row>
    <row r="10" spans="1:27">
      <c r="A10">
        <v>1987</v>
      </c>
      <c r="B10">
        <v>113.6</v>
      </c>
      <c r="C10">
        <v>105.4</v>
      </c>
      <c r="J10" s="104" t="s">
        <v>1275</v>
      </c>
      <c r="K10" s="105">
        <v>185.8</v>
      </c>
      <c r="R10" t="s">
        <v>1271</v>
      </c>
      <c r="S10">
        <v>317</v>
      </c>
      <c r="T10">
        <v>358</v>
      </c>
      <c r="U10">
        <v>270</v>
      </c>
      <c r="V10">
        <v>354</v>
      </c>
      <c r="X10">
        <f t="shared" si="1"/>
        <v>170.43010752688173</v>
      </c>
      <c r="Y10">
        <f t="shared" si="0"/>
        <v>192.47311827956989</v>
      </c>
      <c r="Z10">
        <f t="shared" si="0"/>
        <v>145.16129032258064</v>
      </c>
      <c r="AA10">
        <f t="shared" si="0"/>
        <v>190.32258064516128</v>
      </c>
    </row>
    <row r="11" spans="1:27">
      <c r="A11">
        <v>1988</v>
      </c>
      <c r="B11">
        <v>118.3</v>
      </c>
      <c r="C11">
        <v>108</v>
      </c>
      <c r="J11" s="104" t="s">
        <v>1276</v>
      </c>
      <c r="K11" s="105">
        <v>217.6</v>
      </c>
      <c r="R11" t="s">
        <v>1272</v>
      </c>
      <c r="S11">
        <v>313</v>
      </c>
      <c r="T11">
        <v>342</v>
      </c>
      <c r="U11">
        <v>277</v>
      </c>
      <c r="V11">
        <v>340</v>
      </c>
      <c r="X11">
        <f t="shared" si="1"/>
        <v>168.27956989247312</v>
      </c>
      <c r="Y11">
        <f t="shared" si="0"/>
        <v>183.87096774193549</v>
      </c>
      <c r="Z11">
        <f t="shared" si="0"/>
        <v>148.92473118279571</v>
      </c>
      <c r="AA11">
        <f t="shared" si="0"/>
        <v>182.79569892473117</v>
      </c>
    </row>
    <row r="12" spans="1:27">
      <c r="A12">
        <v>1989</v>
      </c>
      <c r="B12">
        <v>124</v>
      </c>
      <c r="C12">
        <v>113.6</v>
      </c>
      <c r="J12" s="104" t="s">
        <v>1277</v>
      </c>
      <c r="K12" s="105">
        <v>257.3</v>
      </c>
      <c r="R12" t="s">
        <v>1273</v>
      </c>
      <c r="S12">
        <v>301</v>
      </c>
      <c r="T12">
        <v>317</v>
      </c>
      <c r="U12">
        <v>277</v>
      </c>
      <c r="V12">
        <v>293</v>
      </c>
      <c r="X12">
        <f t="shared" si="1"/>
        <v>161.8279569892473</v>
      </c>
      <c r="Y12">
        <f t="shared" si="0"/>
        <v>170.43010752688173</v>
      </c>
      <c r="Z12">
        <f t="shared" si="0"/>
        <v>148.92473118279571</v>
      </c>
      <c r="AA12">
        <f t="shared" si="0"/>
        <v>157.52688172043011</v>
      </c>
    </row>
    <row r="13" spans="1:27">
      <c r="A13">
        <v>1990</v>
      </c>
      <c r="B13">
        <v>130.69999999999999</v>
      </c>
      <c r="C13">
        <v>119.2</v>
      </c>
      <c r="J13" s="104" t="s">
        <v>1278</v>
      </c>
      <c r="K13" s="105">
        <v>281.3</v>
      </c>
      <c r="R13" t="s">
        <v>1274</v>
      </c>
      <c r="S13">
        <v>324</v>
      </c>
      <c r="T13">
        <v>345</v>
      </c>
      <c r="U13">
        <v>296</v>
      </c>
      <c r="V13">
        <v>324</v>
      </c>
      <c r="X13">
        <f t="shared" si="1"/>
        <v>174.19354838709677</v>
      </c>
      <c r="Y13">
        <f t="shared" si="0"/>
        <v>185.48387096774192</v>
      </c>
      <c r="Z13">
        <f t="shared" si="0"/>
        <v>159.13978494623655</v>
      </c>
      <c r="AA13">
        <f t="shared" si="0"/>
        <v>174.19354838709677</v>
      </c>
    </row>
    <row r="14" spans="1:27">
      <c r="A14">
        <v>1991</v>
      </c>
      <c r="B14">
        <v>136.19999999999999</v>
      </c>
      <c r="C14">
        <v>121.7</v>
      </c>
      <c r="R14" t="s">
        <v>1275</v>
      </c>
      <c r="S14">
        <v>331</v>
      </c>
      <c r="T14">
        <v>347</v>
      </c>
      <c r="U14">
        <v>306</v>
      </c>
      <c r="V14">
        <v>317</v>
      </c>
      <c r="X14">
        <f t="shared" si="1"/>
        <v>177.95698924731184</v>
      </c>
      <c r="Y14">
        <f t="shared" si="0"/>
        <v>186.55913978494624</v>
      </c>
      <c r="Z14">
        <f t="shared" si="0"/>
        <v>164.51612903225808</v>
      </c>
      <c r="AA14">
        <f t="shared" si="0"/>
        <v>170.43010752688173</v>
      </c>
    </row>
    <row r="15" spans="1:27">
      <c r="A15">
        <v>1992</v>
      </c>
      <c r="B15">
        <v>140.30000000000001</v>
      </c>
      <c r="C15">
        <v>123.2</v>
      </c>
      <c r="J15" s="104" t="s">
        <v>1278</v>
      </c>
      <c r="K15" s="105">
        <v>100</v>
      </c>
      <c r="R15" t="s">
        <v>1276</v>
      </c>
      <c r="S15">
        <v>360</v>
      </c>
      <c r="T15">
        <v>373</v>
      </c>
      <c r="U15">
        <v>330</v>
      </c>
      <c r="V15">
        <v>346</v>
      </c>
      <c r="X15">
        <f t="shared" si="1"/>
        <v>193.54838709677421</v>
      </c>
      <c r="Y15">
        <f t="shared" si="0"/>
        <v>200.53763440860214</v>
      </c>
      <c r="Z15">
        <f t="shared" si="0"/>
        <v>177.41935483870967</v>
      </c>
      <c r="AA15">
        <f t="shared" si="0"/>
        <v>186.02150537634409</v>
      </c>
    </row>
    <row r="16" spans="1:27">
      <c r="A16">
        <v>1993</v>
      </c>
      <c r="B16">
        <v>144.5</v>
      </c>
      <c r="C16">
        <v>124.7</v>
      </c>
      <c r="J16" s="104" t="s">
        <v>1279</v>
      </c>
      <c r="K16" s="105">
        <v>104.9</v>
      </c>
      <c r="L16">
        <f>K16*$K$13/$K$15</f>
        <v>295.08370000000002</v>
      </c>
      <c r="R16" t="s">
        <v>1277</v>
      </c>
      <c r="S16">
        <v>401</v>
      </c>
      <c r="T16">
        <v>419</v>
      </c>
      <c r="U16">
        <v>369</v>
      </c>
      <c r="V16">
        <v>395</v>
      </c>
      <c r="X16">
        <f t="shared" si="1"/>
        <v>215.59139784946237</v>
      </c>
      <c r="Y16">
        <f t="shared" si="0"/>
        <v>225.26881720430109</v>
      </c>
      <c r="Z16">
        <f t="shared" si="0"/>
        <v>198.38709677419354</v>
      </c>
      <c r="AA16">
        <f t="shared" si="0"/>
        <v>212.36559139784947</v>
      </c>
    </row>
    <row r="17" spans="1:27">
      <c r="A17">
        <v>1994</v>
      </c>
      <c r="B17">
        <v>148.19999999999999</v>
      </c>
      <c r="C17">
        <v>125.5</v>
      </c>
      <c r="J17" s="104" t="s">
        <v>1280</v>
      </c>
      <c r="K17" s="105">
        <v>112.8</v>
      </c>
      <c r="L17">
        <f t="shared" ref="L17:L27" si="2">K17*$K$13/$K$15</f>
        <v>317.3064</v>
      </c>
      <c r="R17" t="s">
        <v>1278</v>
      </c>
      <c r="S17">
        <v>451</v>
      </c>
      <c r="T17">
        <v>476</v>
      </c>
      <c r="U17">
        <v>413</v>
      </c>
      <c r="V17">
        <v>444</v>
      </c>
      <c r="X17">
        <f t="shared" si="1"/>
        <v>242.47311827956989</v>
      </c>
      <c r="Y17">
        <f t="shared" si="0"/>
        <v>255.91397849462365</v>
      </c>
      <c r="Z17">
        <f t="shared" si="0"/>
        <v>222.04301075268816</v>
      </c>
      <c r="AA17">
        <f t="shared" si="0"/>
        <v>238.70967741935485</v>
      </c>
    </row>
    <row r="18" spans="1:27">
      <c r="A18">
        <v>1995</v>
      </c>
      <c r="B18">
        <v>152.4</v>
      </c>
      <c r="C18">
        <v>127.9</v>
      </c>
      <c r="J18" s="104" t="s">
        <v>1281</v>
      </c>
      <c r="K18" s="105">
        <v>120.1</v>
      </c>
      <c r="L18">
        <f t="shared" si="2"/>
        <v>337.84129999999999</v>
      </c>
      <c r="R18" t="s">
        <v>1279</v>
      </c>
      <c r="S18">
        <v>486</v>
      </c>
      <c r="T18">
        <v>508</v>
      </c>
      <c r="U18">
        <v>446</v>
      </c>
      <c r="V18">
        <v>467</v>
      </c>
      <c r="X18">
        <f t="shared" si="1"/>
        <v>261.29032258064518</v>
      </c>
      <c r="Y18">
        <f t="shared" si="0"/>
        <v>273.11827956989248</v>
      </c>
      <c r="Z18">
        <f t="shared" si="0"/>
        <v>239.78494623655914</v>
      </c>
      <c r="AA18">
        <f t="shared" si="0"/>
        <v>251.07526881720429</v>
      </c>
    </row>
    <row r="19" spans="1:27">
      <c r="A19">
        <v>1996</v>
      </c>
      <c r="B19">
        <v>156.9</v>
      </c>
      <c r="C19">
        <v>131.30000000000001</v>
      </c>
      <c r="J19" s="104" t="s">
        <v>1282</v>
      </c>
      <c r="K19" s="105">
        <v>125.4</v>
      </c>
      <c r="L19">
        <f t="shared" si="2"/>
        <v>352.75020000000006</v>
      </c>
      <c r="R19" t="s">
        <v>1280</v>
      </c>
      <c r="S19">
        <v>547</v>
      </c>
      <c r="T19">
        <v>581</v>
      </c>
      <c r="U19">
        <v>492</v>
      </c>
      <c r="V19">
        <v>520</v>
      </c>
      <c r="X19">
        <f t="shared" si="1"/>
        <v>294.08602150537632</v>
      </c>
      <c r="Y19">
        <f t="shared" si="0"/>
        <v>312.36559139784947</v>
      </c>
      <c r="Z19">
        <f t="shared" si="0"/>
        <v>264.51612903225805</v>
      </c>
      <c r="AA19">
        <f t="shared" si="0"/>
        <v>279.56989247311827</v>
      </c>
    </row>
    <row r="20" spans="1:27">
      <c r="A20">
        <v>1997</v>
      </c>
      <c r="B20">
        <v>160.5</v>
      </c>
      <c r="C20">
        <v>131.80000000000001</v>
      </c>
      <c r="J20" s="104" t="s">
        <v>1283</v>
      </c>
      <c r="K20" s="105">
        <v>132.69999999999999</v>
      </c>
      <c r="L20">
        <f t="shared" si="2"/>
        <v>373.28509999999994</v>
      </c>
      <c r="R20" t="s">
        <v>1319</v>
      </c>
    </row>
    <row r="21" spans="1:27">
      <c r="A21">
        <v>1998</v>
      </c>
      <c r="B21">
        <v>163</v>
      </c>
      <c r="C21">
        <v>130.69999999999999</v>
      </c>
      <c r="J21" s="104" t="s">
        <v>1284</v>
      </c>
      <c r="K21" s="105">
        <v>143.5</v>
      </c>
      <c r="L21">
        <f t="shared" si="2"/>
        <v>403.66550000000001</v>
      </c>
      <c r="R21" t="s">
        <v>1280</v>
      </c>
      <c r="S21">
        <v>111</v>
      </c>
      <c r="T21">
        <v>117</v>
      </c>
      <c r="U21">
        <v>92</v>
      </c>
      <c r="V21">
        <v>520</v>
      </c>
    </row>
    <row r="22" spans="1:27">
      <c r="A22">
        <v>1999</v>
      </c>
      <c r="B22">
        <v>166.6</v>
      </c>
      <c r="C22">
        <v>133</v>
      </c>
      <c r="J22" s="104" t="s">
        <v>1285</v>
      </c>
      <c r="K22" s="105">
        <v>154.19999999999999</v>
      </c>
      <c r="L22">
        <f t="shared" si="2"/>
        <v>433.76459999999997</v>
      </c>
      <c r="R22" t="s">
        <v>1281</v>
      </c>
      <c r="S22">
        <v>118</v>
      </c>
      <c r="T22">
        <v>122</v>
      </c>
      <c r="U22">
        <v>100</v>
      </c>
      <c r="V22">
        <v>521</v>
      </c>
      <c r="X22">
        <f>$X$19*S22/$S$21</f>
        <v>312.63198682553519</v>
      </c>
      <c r="Y22">
        <f>$Y$19*T22/$T$21</f>
        <v>325.71454829519342</v>
      </c>
      <c r="Z22">
        <f>$Z$19*U22/$U$21</f>
        <v>287.51753155680223</v>
      </c>
      <c r="AA22">
        <v>521</v>
      </c>
    </row>
    <row r="23" spans="1:27">
      <c r="A23">
        <v>2000</v>
      </c>
      <c r="B23">
        <v>172.2</v>
      </c>
      <c r="C23">
        <v>138</v>
      </c>
      <c r="J23" s="104" t="s">
        <v>1286</v>
      </c>
      <c r="K23" s="105">
        <v>165.7</v>
      </c>
      <c r="L23">
        <f t="shared" si="2"/>
        <v>466.11409999999995</v>
      </c>
      <c r="R23" t="s">
        <v>1282</v>
      </c>
      <c r="S23">
        <v>126</v>
      </c>
      <c r="T23">
        <v>128</v>
      </c>
      <c r="U23">
        <v>107</v>
      </c>
      <c r="V23">
        <v>546</v>
      </c>
      <c r="X23">
        <f t="shared" ref="X23:X33" si="3">$X$19*S23/$S$21</f>
        <v>333.82737576285962</v>
      </c>
      <c r="Y23">
        <f t="shared" ref="Y23:Y33" si="4">$Y$19*T23/$T$21</f>
        <v>341.73329657200628</v>
      </c>
      <c r="Z23">
        <f t="shared" ref="Z23:Z33" si="5">$Z$19*U23/$U$21</f>
        <v>307.64375876577839</v>
      </c>
      <c r="AA23">
        <v>546</v>
      </c>
    </row>
    <row r="24" spans="1:27">
      <c r="A24">
        <v>2001</v>
      </c>
      <c r="B24">
        <v>177.1</v>
      </c>
      <c r="C24">
        <v>140.69999999999999</v>
      </c>
      <c r="J24" s="104" t="s">
        <v>1287</v>
      </c>
      <c r="K24" s="105">
        <v>182.7</v>
      </c>
      <c r="L24">
        <f t="shared" si="2"/>
        <v>513.93510000000003</v>
      </c>
      <c r="R24" t="s">
        <v>1283</v>
      </c>
      <c r="S24">
        <v>137</v>
      </c>
      <c r="T24">
        <v>141</v>
      </c>
      <c r="U24">
        <v>115</v>
      </c>
      <c r="V24">
        <v>572</v>
      </c>
      <c r="X24">
        <f t="shared" si="3"/>
        <v>362.9710355516807</v>
      </c>
      <c r="Y24">
        <f t="shared" si="4"/>
        <v>376.44058450510062</v>
      </c>
      <c r="Z24">
        <f t="shared" si="5"/>
        <v>330.64516129032256</v>
      </c>
      <c r="AA24">
        <v>572</v>
      </c>
    </row>
    <row r="25" spans="1:27">
      <c r="A25">
        <v>2002</v>
      </c>
      <c r="B25">
        <v>179.9</v>
      </c>
      <c r="C25">
        <v>138.9</v>
      </c>
      <c r="J25" s="104" t="s">
        <v>1288</v>
      </c>
      <c r="K25" s="105">
        <v>207.8</v>
      </c>
      <c r="L25">
        <f t="shared" si="2"/>
        <v>584.54140000000007</v>
      </c>
      <c r="R25" t="s">
        <v>1284</v>
      </c>
      <c r="S25">
        <v>149</v>
      </c>
      <c r="T25">
        <v>152</v>
      </c>
      <c r="U25">
        <v>126</v>
      </c>
      <c r="V25">
        <v>629</v>
      </c>
      <c r="X25">
        <f t="shared" si="3"/>
        <v>394.76411895766728</v>
      </c>
      <c r="Y25">
        <f t="shared" si="4"/>
        <v>405.80828967925743</v>
      </c>
      <c r="Z25">
        <f t="shared" si="5"/>
        <v>362.27208976157084</v>
      </c>
      <c r="AA25">
        <v>629</v>
      </c>
    </row>
    <row r="26" spans="1:27">
      <c r="A26">
        <v>2003</v>
      </c>
      <c r="B26">
        <v>184</v>
      </c>
      <c r="C26">
        <v>143.30000000000001</v>
      </c>
      <c r="J26" s="104" t="s">
        <v>1289</v>
      </c>
      <c r="K26" s="105">
        <v>228.7</v>
      </c>
      <c r="L26">
        <f t="shared" si="2"/>
        <v>643.33309999999994</v>
      </c>
      <c r="R26" t="s">
        <v>1285</v>
      </c>
      <c r="S26">
        <v>163</v>
      </c>
      <c r="T26">
        <v>169</v>
      </c>
      <c r="U26">
        <v>136</v>
      </c>
      <c r="V26">
        <v>708</v>
      </c>
      <c r="X26">
        <f t="shared" si="3"/>
        <v>431.85604959798502</v>
      </c>
      <c r="Y26">
        <f t="shared" si="4"/>
        <v>451.19474313022704</v>
      </c>
      <c r="Z26">
        <f t="shared" si="5"/>
        <v>391.02384291725099</v>
      </c>
      <c r="AA26">
        <v>708</v>
      </c>
    </row>
    <row r="27" spans="1:27">
      <c r="A27">
        <v>2004</v>
      </c>
      <c r="B27">
        <v>188.9</v>
      </c>
      <c r="C27">
        <v>148.5</v>
      </c>
      <c r="F27">
        <v>100</v>
      </c>
      <c r="G27">
        <f>L27</f>
        <v>697.06140000000005</v>
      </c>
      <c r="J27" s="104" t="s">
        <v>1290</v>
      </c>
      <c r="K27" s="105">
        <v>247.8</v>
      </c>
      <c r="L27">
        <f t="shared" si="2"/>
        <v>697.06140000000005</v>
      </c>
      <c r="R27" t="s">
        <v>1286</v>
      </c>
      <c r="S27">
        <v>173</v>
      </c>
      <c r="T27">
        <v>177</v>
      </c>
      <c r="U27">
        <v>145</v>
      </c>
      <c r="V27">
        <v>746</v>
      </c>
      <c r="X27">
        <f t="shared" si="3"/>
        <v>458.35028576964055</v>
      </c>
      <c r="Y27">
        <f t="shared" si="4"/>
        <v>472.55307416597742</v>
      </c>
      <c r="Z27">
        <f t="shared" si="5"/>
        <v>416.90042075736324</v>
      </c>
      <c r="AA27">
        <v>746</v>
      </c>
    </row>
    <row r="28" spans="1:27">
      <c r="A28">
        <v>2005</v>
      </c>
      <c r="B28">
        <v>195.3</v>
      </c>
      <c r="C28">
        <v>155.69999999999999</v>
      </c>
      <c r="F28">
        <v>112.6</v>
      </c>
      <c r="G28" t="s">
        <v>1312</v>
      </c>
      <c r="R28" t="s">
        <v>1287</v>
      </c>
      <c r="S28">
        <v>193</v>
      </c>
      <c r="T28">
        <v>199</v>
      </c>
      <c r="U28">
        <v>161</v>
      </c>
      <c r="V28">
        <v>803</v>
      </c>
      <c r="X28">
        <f t="shared" si="3"/>
        <v>511.33875811295167</v>
      </c>
      <c r="Y28">
        <f t="shared" si="4"/>
        <v>531.28848451429099</v>
      </c>
      <c r="Z28">
        <f t="shared" si="5"/>
        <v>462.90322580645159</v>
      </c>
      <c r="AA28">
        <v>803</v>
      </c>
    </row>
    <row r="29" spans="1:27">
      <c r="A29">
        <v>2006</v>
      </c>
      <c r="B29">
        <v>201.6</v>
      </c>
      <c r="C29">
        <v>160.30000000000001</v>
      </c>
      <c r="J29" s="104" t="s">
        <v>1290</v>
      </c>
      <c r="K29" s="105">
        <v>100</v>
      </c>
      <c r="R29" t="s">
        <v>1288</v>
      </c>
      <c r="S29">
        <v>219</v>
      </c>
      <c r="T29">
        <v>230</v>
      </c>
      <c r="U29">
        <v>183</v>
      </c>
      <c r="V29">
        <v>958</v>
      </c>
      <c r="X29">
        <f t="shared" si="3"/>
        <v>580.22377215925599</v>
      </c>
      <c r="Y29">
        <f t="shared" si="4"/>
        <v>614.05201727782378</v>
      </c>
      <c r="Z29">
        <f t="shared" si="5"/>
        <v>526.15708274894803</v>
      </c>
      <c r="AA29">
        <v>958</v>
      </c>
    </row>
    <row r="30" spans="1:27">
      <c r="J30" s="104" t="s">
        <v>1291</v>
      </c>
      <c r="K30" s="105">
        <v>112.6</v>
      </c>
      <c r="L30">
        <f>K30*$L$27/$K$29</f>
        <v>784.89113639999994</v>
      </c>
      <c r="R30" t="s">
        <v>1289</v>
      </c>
      <c r="S30">
        <v>240</v>
      </c>
      <c r="T30">
        <v>254</v>
      </c>
      <c r="U30">
        <v>202</v>
      </c>
      <c r="V30">
        <v>1076</v>
      </c>
      <c r="X30">
        <f t="shared" si="3"/>
        <v>635.8616681197326</v>
      </c>
      <c r="Y30">
        <f t="shared" si="4"/>
        <v>678.12701038507487</v>
      </c>
      <c r="Z30">
        <f t="shared" si="5"/>
        <v>580.78541374474048</v>
      </c>
      <c r="AA30">
        <v>1076</v>
      </c>
    </row>
    <row r="31" spans="1:27">
      <c r="J31" s="104" t="s">
        <v>1292</v>
      </c>
      <c r="K31" s="105">
        <v>121.6</v>
      </c>
      <c r="L31">
        <f t="shared" ref="L31:L45" si="6">K31*$L$27/$K$29</f>
        <v>847.6266624000001</v>
      </c>
      <c r="R31" t="s">
        <v>1290</v>
      </c>
      <c r="S31">
        <v>258</v>
      </c>
      <c r="T31">
        <v>272</v>
      </c>
      <c r="U31">
        <v>216</v>
      </c>
      <c r="V31">
        <v>1114</v>
      </c>
      <c r="X31">
        <f t="shared" si="3"/>
        <v>683.55129322871255</v>
      </c>
      <c r="Y31">
        <f t="shared" si="4"/>
        <v>726.18325521551321</v>
      </c>
      <c r="Z31">
        <f t="shared" si="5"/>
        <v>621.0378681626928</v>
      </c>
      <c r="AA31">
        <v>1114</v>
      </c>
    </row>
    <row r="32" spans="1:27">
      <c r="J32" s="104" t="s">
        <v>1293</v>
      </c>
      <c r="K32" s="105">
        <v>127.2</v>
      </c>
      <c r="L32">
        <f t="shared" si="6"/>
        <v>886.66210080000008</v>
      </c>
      <c r="R32" t="s">
        <v>1291</v>
      </c>
      <c r="S32">
        <v>284</v>
      </c>
      <c r="T32">
        <v>304</v>
      </c>
      <c r="U32">
        <v>237</v>
      </c>
      <c r="V32">
        <v>1247</v>
      </c>
      <c r="X32">
        <f t="shared" si="3"/>
        <v>752.43630727501693</v>
      </c>
      <c r="Y32">
        <f t="shared" si="4"/>
        <v>811.61657935851485</v>
      </c>
      <c r="Z32">
        <f t="shared" si="5"/>
        <v>681.41654978962129</v>
      </c>
      <c r="AA32">
        <v>1247</v>
      </c>
    </row>
    <row r="33" spans="10:27">
      <c r="J33" s="104" t="s">
        <v>1294</v>
      </c>
      <c r="K33" s="105">
        <v>132.80000000000001</v>
      </c>
      <c r="L33">
        <f t="shared" si="6"/>
        <v>925.69753920000016</v>
      </c>
      <c r="R33" t="s">
        <v>1292</v>
      </c>
      <c r="S33">
        <v>313</v>
      </c>
      <c r="T33">
        <v>337</v>
      </c>
      <c r="U33">
        <v>259</v>
      </c>
      <c r="V33">
        <v>1381</v>
      </c>
      <c r="X33">
        <f t="shared" si="3"/>
        <v>829.26959217281797</v>
      </c>
      <c r="Y33">
        <f t="shared" si="4"/>
        <v>899.71969488098523</v>
      </c>
      <c r="Z33">
        <f t="shared" si="5"/>
        <v>744.67040673211773</v>
      </c>
      <c r="AA33">
        <v>1381</v>
      </c>
    </row>
    <row r="34" spans="10:27">
      <c r="J34" s="104" t="s">
        <v>1295</v>
      </c>
      <c r="K34" s="105">
        <v>140.69999999999999</v>
      </c>
      <c r="L34">
        <f t="shared" si="6"/>
        <v>980.76538979999998</v>
      </c>
      <c r="R34" t="s">
        <v>1320</v>
      </c>
    </row>
    <row r="35" spans="10:27">
      <c r="J35" s="104" t="s">
        <v>1297</v>
      </c>
      <c r="K35" s="105">
        <v>145.30000000000001</v>
      </c>
      <c r="L35">
        <f t="shared" si="6"/>
        <v>1012.8302142000002</v>
      </c>
      <c r="R35" t="s">
        <v>1293</v>
      </c>
      <c r="S35">
        <v>342</v>
      </c>
      <c r="T35">
        <v>369</v>
      </c>
      <c r="U35">
        <v>283</v>
      </c>
      <c r="V35">
        <v>256</v>
      </c>
    </row>
    <row r="36" spans="10:27">
      <c r="J36" s="104" t="s">
        <v>1298</v>
      </c>
      <c r="K36" s="105">
        <v>155.69999999999999</v>
      </c>
      <c r="L36">
        <f t="shared" si="6"/>
        <v>1085.3245998</v>
      </c>
      <c r="R36" t="s">
        <v>1294</v>
      </c>
      <c r="S36">
        <v>366</v>
      </c>
      <c r="T36">
        <v>388</v>
      </c>
      <c r="U36">
        <v>302</v>
      </c>
      <c r="V36">
        <v>264</v>
      </c>
    </row>
    <row r="37" spans="10:27">
      <c r="J37" s="104" t="s">
        <v>1299</v>
      </c>
      <c r="K37" s="105">
        <v>161.30000000000001</v>
      </c>
      <c r="L37">
        <f t="shared" si="6"/>
        <v>1124.3600382000002</v>
      </c>
      <c r="R37" t="s">
        <v>1295</v>
      </c>
      <c r="S37">
        <v>414</v>
      </c>
      <c r="T37">
        <v>445</v>
      </c>
      <c r="U37">
        <v>337</v>
      </c>
      <c r="V37">
        <v>293</v>
      </c>
    </row>
    <row r="38" spans="10:27">
      <c r="J38" s="104" t="s">
        <v>1300</v>
      </c>
      <c r="K38" s="105">
        <v>166.8</v>
      </c>
      <c r="L38">
        <f t="shared" si="6"/>
        <v>1162.6984152000002</v>
      </c>
      <c r="R38" t="s">
        <v>1297</v>
      </c>
      <c r="S38">
        <v>428</v>
      </c>
      <c r="T38">
        <v>446</v>
      </c>
      <c r="U38">
        <v>352</v>
      </c>
      <c r="V38">
        <v>306</v>
      </c>
    </row>
    <row r="39" spans="10:27">
      <c r="J39" s="104" t="s">
        <v>1301</v>
      </c>
      <c r="K39" s="105">
        <v>175.9</v>
      </c>
      <c r="L39">
        <f t="shared" si="6"/>
        <v>1226.1310026000001</v>
      </c>
      <c r="R39" t="s">
        <v>1298</v>
      </c>
      <c r="S39">
        <v>444</v>
      </c>
      <c r="T39">
        <v>453</v>
      </c>
      <c r="U39">
        <v>371</v>
      </c>
      <c r="V39">
        <v>305</v>
      </c>
    </row>
    <row r="40" spans="10:27">
      <c r="J40" s="104" t="s">
        <v>1302</v>
      </c>
      <c r="K40" s="105">
        <v>187.3</v>
      </c>
      <c r="L40">
        <f t="shared" si="6"/>
        <v>1305.5960022000002</v>
      </c>
      <c r="R40" t="s">
        <v>1299</v>
      </c>
      <c r="S40">
        <v>463</v>
      </c>
      <c r="T40">
        <v>466</v>
      </c>
      <c r="U40">
        <v>390</v>
      </c>
      <c r="V40">
        <v>309</v>
      </c>
    </row>
    <row r="41" spans="10:27">
      <c r="J41" s="104" t="s">
        <v>1303</v>
      </c>
      <c r="K41" s="105">
        <v>195.5</v>
      </c>
      <c r="L41">
        <f t="shared" si="6"/>
        <v>1362.7550369999999</v>
      </c>
      <c r="R41" t="s">
        <v>1300</v>
      </c>
      <c r="S41">
        <v>482</v>
      </c>
      <c r="T41">
        <v>477</v>
      </c>
      <c r="U41">
        <v>405</v>
      </c>
      <c r="V41">
        <v>319</v>
      </c>
    </row>
    <row r="42" spans="10:27">
      <c r="J42" s="104" t="s">
        <v>1304</v>
      </c>
      <c r="K42" s="105">
        <v>206.1</v>
      </c>
      <c r="L42">
        <f t="shared" si="6"/>
        <v>1436.6435454</v>
      </c>
      <c r="R42" t="s">
        <v>1301</v>
      </c>
      <c r="S42">
        <v>500</v>
      </c>
      <c r="T42">
        <v>495</v>
      </c>
      <c r="U42">
        <v>420</v>
      </c>
      <c r="V42">
        <v>331</v>
      </c>
    </row>
    <row r="43" spans="10:27">
      <c r="J43" s="104" t="s">
        <v>1305</v>
      </c>
      <c r="K43" s="105">
        <v>215.9</v>
      </c>
      <c r="L43">
        <f t="shared" si="6"/>
        <v>1504.9555626000001</v>
      </c>
      <c r="R43" t="s">
        <v>1302</v>
      </c>
      <c r="S43">
        <v>520</v>
      </c>
      <c r="T43">
        <v>506</v>
      </c>
      <c r="U43">
        <v>436</v>
      </c>
      <c r="V43">
        <v>340</v>
      </c>
    </row>
    <row r="44" spans="10:27">
      <c r="J44" s="104" t="s">
        <v>1310</v>
      </c>
      <c r="K44" s="105">
        <v>233.9</v>
      </c>
      <c r="L44">
        <f t="shared" si="6"/>
        <v>1630.4266146</v>
      </c>
      <c r="R44" t="s">
        <v>1303</v>
      </c>
      <c r="S44">
        <v>542</v>
      </c>
      <c r="T44">
        <v>527</v>
      </c>
      <c r="U44">
        <v>456</v>
      </c>
      <c r="V44">
        <v>353</v>
      </c>
    </row>
    <row r="45" spans="10:27">
      <c r="J45" s="104" t="s">
        <v>1311</v>
      </c>
      <c r="K45" s="105">
        <v>242.7</v>
      </c>
      <c r="L45">
        <f t="shared" si="6"/>
        <v>1691.7680178000001</v>
      </c>
      <c r="R45" t="s">
        <v>1304</v>
      </c>
      <c r="S45">
        <v>579</v>
      </c>
      <c r="T45">
        <v>575</v>
      </c>
      <c r="U45">
        <v>486</v>
      </c>
      <c r="V45">
        <v>380</v>
      </c>
    </row>
    <row r="46" spans="10:27">
      <c r="R46" t="s">
        <v>1321</v>
      </c>
    </row>
    <row r="47" spans="10:27">
      <c r="R47" t="s">
        <v>1304</v>
      </c>
      <c r="S47">
        <v>125</v>
      </c>
      <c r="T47">
        <v>126</v>
      </c>
      <c r="U47">
        <v>486</v>
      </c>
      <c r="V47">
        <v>380</v>
      </c>
    </row>
    <row r="48" spans="10:27">
      <c r="R48" t="s">
        <v>1305</v>
      </c>
      <c r="S48">
        <v>133</v>
      </c>
      <c r="T48">
        <v>136</v>
      </c>
      <c r="U48">
        <v>515</v>
      </c>
      <c r="V48">
        <v>409</v>
      </c>
    </row>
    <row r="49" spans="18:22">
      <c r="R49" t="s">
        <v>1310</v>
      </c>
      <c r="S49">
        <v>145</v>
      </c>
      <c r="T49">
        <v>153</v>
      </c>
      <c r="U49">
        <v>561</v>
      </c>
      <c r="V49">
        <v>450</v>
      </c>
    </row>
    <row r="50" spans="18:22">
      <c r="R50" t="s">
        <v>1311</v>
      </c>
      <c r="S50">
        <v>163</v>
      </c>
      <c r="T50">
        <v>176</v>
      </c>
      <c r="U50">
        <v>634</v>
      </c>
      <c r="V50">
        <v>513</v>
      </c>
    </row>
    <row r="51" spans="18:22">
      <c r="R51" t="s">
        <v>1322</v>
      </c>
    </row>
    <row r="52" spans="18:22">
      <c r="R52" t="s">
        <v>1323</v>
      </c>
    </row>
    <row r="53" spans="18:22">
      <c r="R53" t="s">
        <v>1324</v>
      </c>
    </row>
    <row r="54" spans="18:22">
      <c r="R54" t="s">
        <v>1325</v>
      </c>
    </row>
    <row r="55" spans="18:22">
      <c r="R55" t="s">
        <v>1326</v>
      </c>
    </row>
    <row r="56" spans="18:22">
      <c r="R56" t="s">
        <v>1327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4B3B-79AB-44F5-92C9-EFEBD1EADAC2}">
  <dimension ref="A1:C29"/>
  <sheetViews>
    <sheetView topLeftCell="A8" workbookViewId="0">
      <selection activeCell="A4" sqref="A4:C29"/>
    </sheetView>
  </sheetViews>
  <sheetFormatPr defaultRowHeight="15"/>
  <sheetData>
    <row r="1" spans="1:3">
      <c r="A1" t="s">
        <v>350</v>
      </c>
    </row>
    <row r="4" spans="1:3">
      <c r="A4" t="s">
        <v>351</v>
      </c>
      <c r="B4" t="s">
        <v>352</v>
      </c>
      <c r="C4" t="s">
        <v>353</v>
      </c>
    </row>
    <row r="5" spans="1:3">
      <c r="A5" t="s">
        <v>354</v>
      </c>
      <c r="B5">
        <v>77</v>
      </c>
      <c r="C5">
        <v>84</v>
      </c>
    </row>
    <row r="6" spans="1:3">
      <c r="A6" t="s">
        <v>355</v>
      </c>
      <c r="B6">
        <v>137</v>
      </c>
      <c r="C6">
        <v>116</v>
      </c>
    </row>
    <row r="7" spans="1:3">
      <c r="A7" t="s">
        <v>356</v>
      </c>
      <c r="B7">
        <v>117</v>
      </c>
      <c r="C7">
        <v>123</v>
      </c>
    </row>
    <row r="8" spans="1:3">
      <c r="A8" t="s">
        <v>357</v>
      </c>
      <c r="B8">
        <v>94</v>
      </c>
      <c r="C8">
        <v>128</v>
      </c>
    </row>
    <row r="9" spans="1:3">
      <c r="A9" t="s">
        <v>358</v>
      </c>
      <c r="B9">
        <v>116</v>
      </c>
      <c r="C9">
        <v>155</v>
      </c>
    </row>
    <row r="10" spans="1:3">
      <c r="A10" t="s">
        <v>359</v>
      </c>
      <c r="B10">
        <v>102</v>
      </c>
      <c r="C10">
        <v>101</v>
      </c>
    </row>
    <row r="11" spans="1:3">
      <c r="A11" t="s">
        <v>360</v>
      </c>
      <c r="B11">
        <v>111</v>
      </c>
      <c r="C11">
        <v>118</v>
      </c>
    </row>
    <row r="12" spans="1:3">
      <c r="A12" t="s">
        <v>361</v>
      </c>
      <c r="B12">
        <v>93</v>
      </c>
      <c r="C12">
        <v>113</v>
      </c>
    </row>
    <row r="13" spans="1:3">
      <c r="A13" t="s">
        <v>362</v>
      </c>
      <c r="B13">
        <v>88</v>
      </c>
      <c r="C13">
        <v>104</v>
      </c>
    </row>
    <row r="14" spans="1:3">
      <c r="A14" t="s">
        <v>363</v>
      </c>
      <c r="B14">
        <v>102</v>
      </c>
      <c r="C14">
        <v>88</v>
      </c>
    </row>
    <row r="15" spans="1:3">
      <c r="A15" t="s">
        <v>364</v>
      </c>
      <c r="B15">
        <v>91</v>
      </c>
      <c r="C15">
        <v>104</v>
      </c>
    </row>
    <row r="16" spans="1:3">
      <c r="A16" t="s">
        <v>365</v>
      </c>
      <c r="B16">
        <v>104</v>
      </c>
      <c r="C16">
        <v>129</v>
      </c>
    </row>
    <row r="17" spans="1:3">
      <c r="A17" t="s">
        <v>366</v>
      </c>
      <c r="B17">
        <v>107</v>
      </c>
      <c r="C17">
        <v>86</v>
      </c>
    </row>
    <row r="18" spans="1:3">
      <c r="A18" t="s">
        <v>367</v>
      </c>
      <c r="B18">
        <v>112</v>
      </c>
      <c r="C18">
        <v>96</v>
      </c>
    </row>
    <row r="19" spans="1:3">
      <c r="A19" t="s">
        <v>368</v>
      </c>
      <c r="B19">
        <v>113</v>
      </c>
      <c r="C19">
        <v>144</v>
      </c>
    </row>
    <row r="20" spans="1:3">
      <c r="A20" t="s">
        <v>369</v>
      </c>
      <c r="B20">
        <v>110</v>
      </c>
      <c r="C20">
        <v>139</v>
      </c>
    </row>
    <row r="21" spans="1:3">
      <c r="A21" t="s">
        <v>370</v>
      </c>
      <c r="B21">
        <v>125</v>
      </c>
      <c r="C21">
        <v>113</v>
      </c>
    </row>
    <row r="22" spans="1:3">
      <c r="A22" t="s">
        <v>371</v>
      </c>
      <c r="B22">
        <v>133</v>
      </c>
      <c r="C22">
        <v>146</v>
      </c>
    </row>
    <row r="23" spans="1:3">
      <c r="A23" t="s">
        <v>372</v>
      </c>
      <c r="B23">
        <v>115</v>
      </c>
      <c r="C23">
        <v>128</v>
      </c>
    </row>
    <row r="24" spans="1:3">
      <c r="A24" t="s">
        <v>373</v>
      </c>
      <c r="B24">
        <v>105</v>
      </c>
      <c r="C24">
        <v>115</v>
      </c>
    </row>
    <row r="25" spans="1:3">
      <c r="A25" t="s">
        <v>374</v>
      </c>
      <c r="B25">
        <v>87</v>
      </c>
      <c r="C25">
        <v>79</v>
      </c>
    </row>
    <row r="26" spans="1:3">
      <c r="A26" t="s">
        <v>375</v>
      </c>
      <c r="B26">
        <v>91</v>
      </c>
      <c r="C26">
        <v>85</v>
      </c>
    </row>
    <row r="27" spans="1:3">
      <c r="A27" t="s">
        <v>376</v>
      </c>
      <c r="B27">
        <v>100</v>
      </c>
      <c r="C27">
        <v>120</v>
      </c>
    </row>
    <row r="28" spans="1:3">
      <c r="A28" t="s">
        <v>377</v>
      </c>
      <c r="B28">
        <v>76</v>
      </c>
      <c r="C28">
        <v>60</v>
      </c>
    </row>
    <row r="29" spans="1:3">
      <c r="A29" t="s">
        <v>378</v>
      </c>
      <c r="B29">
        <v>66</v>
      </c>
      <c r="C29">
        <v>51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4820-9840-4056-8C8D-65AAF0545FBF}">
  <dimension ref="A1:B243"/>
  <sheetViews>
    <sheetView workbookViewId="0">
      <selection sqref="A1:B243"/>
    </sheetView>
  </sheetViews>
  <sheetFormatPr defaultRowHeight="15"/>
  <sheetData>
    <row r="1" spans="1:2">
      <c r="A1" t="s">
        <v>379</v>
      </c>
    </row>
    <row r="3" spans="1:2">
      <c r="A3" t="s">
        <v>92</v>
      </c>
      <c r="B3" t="s">
        <v>93</v>
      </c>
    </row>
    <row r="4" spans="1:2">
      <c r="A4">
        <v>6.080228</v>
      </c>
      <c r="B4">
        <v>7.2634480000000003</v>
      </c>
    </row>
    <row r="5" spans="1:2">
      <c r="A5">
        <v>-0.92418599999999995</v>
      </c>
      <c r="B5">
        <v>6.3398960000000004</v>
      </c>
    </row>
    <row r="6" spans="1:2">
      <c r="A6">
        <v>-3.2861739999999999</v>
      </c>
      <c r="B6">
        <v>-9.2852169999999994</v>
      </c>
    </row>
    <row r="7" spans="1:2">
      <c r="A7">
        <v>5.2119770000000001</v>
      </c>
      <c r="B7">
        <v>0.79329099999999997</v>
      </c>
    </row>
    <row r="8" spans="1:2">
      <c r="A8">
        <v>-16.164210000000001</v>
      </c>
      <c r="B8">
        <v>-2.9024209999999999</v>
      </c>
    </row>
    <row r="9" spans="1:2">
      <c r="A9">
        <v>-1.0547040000000001</v>
      </c>
      <c r="B9">
        <v>8.6131510000000002</v>
      </c>
    </row>
    <row r="10" spans="1:2">
      <c r="A10">
        <v>11.17238</v>
      </c>
      <c r="B10">
        <v>3.9820630000000001</v>
      </c>
    </row>
    <row r="11" spans="1:2">
      <c r="A11">
        <v>-11.063280000000001</v>
      </c>
      <c r="B11">
        <v>-1.1501710000000001</v>
      </c>
    </row>
    <row r="12" spans="1:2">
      <c r="A12">
        <v>-16.777000000000001</v>
      </c>
      <c r="B12">
        <v>3.4861260000000001</v>
      </c>
    </row>
    <row r="13" spans="1:2">
      <c r="A13">
        <v>-7.0218340000000001</v>
      </c>
      <c r="B13">
        <v>4.3298500000000004</v>
      </c>
    </row>
    <row r="14" spans="1:2">
      <c r="A14">
        <v>-9.7168460000000003</v>
      </c>
      <c r="B14">
        <v>0.93687500000000001</v>
      </c>
    </row>
    <row r="15" spans="1:2">
      <c r="A15">
        <v>5.215706</v>
      </c>
      <c r="B15">
        <v>-5.2024559999999997</v>
      </c>
    </row>
    <row r="16" spans="1:2">
      <c r="A16">
        <v>-6.6120010000000002</v>
      </c>
      <c r="B16">
        <v>-2.082757</v>
      </c>
    </row>
    <row r="17" spans="1:2">
      <c r="A17">
        <v>4.2644979999999997</v>
      </c>
      <c r="B17">
        <v>2.728523</v>
      </c>
    </row>
    <row r="18" spans="1:2">
      <c r="A18">
        <v>4.9167110000000003</v>
      </c>
      <c r="B18">
        <v>0.65339700000000001</v>
      </c>
    </row>
    <row r="19" spans="1:2">
      <c r="A19">
        <v>22.20496</v>
      </c>
      <c r="B19">
        <v>6.4360720000000002</v>
      </c>
    </row>
    <row r="20" spans="1:2">
      <c r="A20">
        <v>-11.298690000000001</v>
      </c>
      <c r="B20">
        <v>-4.2591979999999996</v>
      </c>
    </row>
    <row r="21" spans="1:2">
      <c r="A21">
        <v>-5.7705080000000004</v>
      </c>
      <c r="B21">
        <v>0.54391</v>
      </c>
    </row>
    <row r="22" spans="1:2">
      <c r="A22">
        <v>-5.217765</v>
      </c>
      <c r="B22">
        <v>-0.486846</v>
      </c>
    </row>
    <row r="23" spans="1:2">
      <c r="A23">
        <v>16.196200000000001</v>
      </c>
      <c r="B23">
        <v>2.8439999999999999</v>
      </c>
    </row>
    <row r="24" spans="1:2">
      <c r="A24">
        <v>-17.16995</v>
      </c>
      <c r="B24">
        <v>-16.45721</v>
      </c>
    </row>
    <row r="25" spans="1:2">
      <c r="A25">
        <v>1.105335</v>
      </c>
      <c r="B25">
        <v>4.4689379999999996</v>
      </c>
    </row>
    <row r="26" spans="1:2">
      <c r="A26">
        <v>11.68534</v>
      </c>
      <c r="B26">
        <v>5.8855199999999996</v>
      </c>
    </row>
    <row r="27" spans="1:2">
      <c r="A27">
        <v>-2.3014519999999998</v>
      </c>
      <c r="B27">
        <v>-0.39069799999999999</v>
      </c>
    </row>
    <row r="28" spans="1:2">
      <c r="A28">
        <v>8.6437279999999994</v>
      </c>
      <c r="B28">
        <v>2.499568</v>
      </c>
    </row>
    <row r="29" spans="1:2">
      <c r="A29">
        <v>-11.12908</v>
      </c>
      <c r="B29">
        <v>-4.0336069999999999</v>
      </c>
    </row>
    <row r="30" spans="1:2">
      <c r="A30">
        <v>1.724628</v>
      </c>
      <c r="B30">
        <v>3.0425260000000001</v>
      </c>
    </row>
    <row r="31" spans="1:2">
      <c r="A31">
        <v>0.15787999999999999</v>
      </c>
      <c r="B31">
        <v>0.73456500000000002</v>
      </c>
    </row>
    <row r="32" spans="1:2">
      <c r="A32">
        <v>-1.875203</v>
      </c>
      <c r="B32">
        <v>2.7797320000000001</v>
      </c>
    </row>
    <row r="33" spans="1:2">
      <c r="A33">
        <v>-10.62482</v>
      </c>
      <c r="B33">
        <v>-5.9001159999999997</v>
      </c>
    </row>
    <row r="34" spans="1:2">
      <c r="A34">
        <v>-5.7611359999999996</v>
      </c>
      <c r="B34">
        <v>3.005344</v>
      </c>
    </row>
    <row r="35" spans="1:2">
      <c r="A35">
        <v>5.4814319999999999</v>
      </c>
      <c r="B35">
        <v>3.9549910000000001</v>
      </c>
    </row>
    <row r="36" spans="1:2">
      <c r="A36">
        <v>-17.022069999999999</v>
      </c>
      <c r="B36">
        <v>2.5471270000000001</v>
      </c>
    </row>
    <row r="37" spans="1:2">
      <c r="A37">
        <v>7.6254210000000002</v>
      </c>
      <c r="B37">
        <v>4.329008</v>
      </c>
    </row>
    <row r="38" spans="1:2">
      <c r="A38">
        <v>-6.5757219999999998</v>
      </c>
      <c r="B38">
        <v>0.191941</v>
      </c>
    </row>
    <row r="39" spans="1:2">
      <c r="A39">
        <v>-2.37283</v>
      </c>
      <c r="B39">
        <v>-0.92167600000000005</v>
      </c>
    </row>
    <row r="40" spans="1:2">
      <c r="A40">
        <v>17.52375</v>
      </c>
      <c r="B40">
        <v>3.3946830000000001</v>
      </c>
    </row>
    <row r="41" spans="1:2">
      <c r="A41">
        <v>1.3546560000000001</v>
      </c>
      <c r="B41">
        <v>0.758714</v>
      </c>
    </row>
    <row r="42" spans="1:2">
      <c r="A42">
        <v>16.268609999999999</v>
      </c>
      <c r="B42">
        <v>1.862074</v>
      </c>
    </row>
    <row r="43" spans="1:2">
      <c r="A43">
        <v>-6.0745469999999999</v>
      </c>
      <c r="B43">
        <v>6.7977509999999999</v>
      </c>
    </row>
    <row r="44" spans="1:2">
      <c r="A44">
        <v>-0.82665100000000002</v>
      </c>
      <c r="B44">
        <v>-1.699254</v>
      </c>
    </row>
    <row r="45" spans="1:2">
      <c r="A45">
        <v>3.8078820000000002</v>
      </c>
      <c r="B45">
        <v>4.0925919999999998</v>
      </c>
    </row>
    <row r="46" spans="1:2">
      <c r="A46">
        <v>0.57570100000000002</v>
      </c>
      <c r="B46">
        <v>-2.9262990000000002</v>
      </c>
    </row>
    <row r="47" spans="1:2">
      <c r="A47">
        <v>3.755563</v>
      </c>
      <c r="B47">
        <v>1.7734239999999999</v>
      </c>
    </row>
    <row r="48" spans="1:2">
      <c r="A48">
        <v>-5.3659270000000001</v>
      </c>
      <c r="B48">
        <v>-2.8008160000000002</v>
      </c>
    </row>
    <row r="49" spans="1:2">
      <c r="A49">
        <v>-3.7503030000000002</v>
      </c>
      <c r="B49">
        <v>-1.505395</v>
      </c>
    </row>
    <row r="50" spans="1:2">
      <c r="A50">
        <v>4.898752</v>
      </c>
      <c r="B50">
        <v>4.1869630000000004</v>
      </c>
    </row>
    <row r="51" spans="1:2">
      <c r="A51">
        <v>4.3792559999999998</v>
      </c>
      <c r="B51">
        <v>1.201417</v>
      </c>
    </row>
    <row r="52" spans="1:2">
      <c r="A52">
        <v>16.56016</v>
      </c>
      <c r="B52">
        <v>6.7693209999999997</v>
      </c>
    </row>
    <row r="53" spans="1:2">
      <c r="A53">
        <v>1.5231269999999999</v>
      </c>
      <c r="B53">
        <v>-1.6860269999999999</v>
      </c>
    </row>
    <row r="54" spans="1:2">
      <c r="A54">
        <v>1.020608</v>
      </c>
      <c r="B54">
        <v>5.245806</v>
      </c>
    </row>
    <row r="55" spans="1:2">
      <c r="A55">
        <v>-3.899308</v>
      </c>
      <c r="B55">
        <v>1.72871</v>
      </c>
    </row>
    <row r="56" spans="1:2">
      <c r="A56">
        <v>-14.32502</v>
      </c>
      <c r="B56">
        <v>-7.2790759999999999</v>
      </c>
    </row>
    <row r="57" spans="1:2">
      <c r="A57">
        <v>3.0566270000000002</v>
      </c>
      <c r="B57">
        <v>-0.77947100000000002</v>
      </c>
    </row>
    <row r="58" spans="1:2">
      <c r="A58">
        <v>-2.1536E-2</v>
      </c>
      <c r="B58">
        <v>-2.439635</v>
      </c>
    </row>
    <row r="59" spans="1:2">
      <c r="A59">
        <v>3.355102</v>
      </c>
      <c r="B59">
        <v>8.4459780000000002</v>
      </c>
    </row>
    <row r="60" spans="1:2">
      <c r="A60">
        <v>0.100007</v>
      </c>
      <c r="B60">
        <v>1.2210799999999999</v>
      </c>
    </row>
    <row r="61" spans="1:2">
      <c r="A61">
        <v>1.6912499999999999</v>
      </c>
      <c r="B61">
        <v>2.733387</v>
      </c>
    </row>
    <row r="62" spans="1:2">
      <c r="A62">
        <v>8.2007530000000006</v>
      </c>
      <c r="B62">
        <v>5.1275329999999997</v>
      </c>
    </row>
    <row r="63" spans="1:2">
      <c r="A63">
        <v>3.5278659999999999</v>
      </c>
      <c r="B63">
        <v>3.1915550000000001</v>
      </c>
    </row>
    <row r="64" spans="1:2">
      <c r="A64">
        <v>4.5545879999999999</v>
      </c>
      <c r="B64">
        <v>3.9078390000000001</v>
      </c>
    </row>
    <row r="65" spans="1:2">
      <c r="A65">
        <v>5.3654789999999997</v>
      </c>
      <c r="B65">
        <v>-1.7085680000000001</v>
      </c>
    </row>
    <row r="66" spans="1:2">
      <c r="A66">
        <v>4.5252309999999998</v>
      </c>
      <c r="B66">
        <v>0.43521900000000002</v>
      </c>
    </row>
    <row r="67" spans="1:2">
      <c r="A67">
        <v>2.9446539999999999</v>
      </c>
      <c r="B67">
        <v>0.95806800000000003</v>
      </c>
    </row>
    <row r="68" spans="1:2">
      <c r="A68">
        <v>-0.26860000000000001</v>
      </c>
      <c r="B68">
        <v>1.095477</v>
      </c>
    </row>
    <row r="69" spans="1:2">
      <c r="A69">
        <v>-3.661041</v>
      </c>
      <c r="B69">
        <v>-6.816109</v>
      </c>
    </row>
    <row r="70" spans="1:2">
      <c r="A70">
        <v>-4.5405049999999996</v>
      </c>
      <c r="B70">
        <v>2.7850540000000001</v>
      </c>
    </row>
    <row r="71" spans="1:2">
      <c r="A71">
        <v>9.1952920000000002</v>
      </c>
      <c r="B71">
        <v>3.9002089999999998</v>
      </c>
    </row>
    <row r="72" spans="1:2">
      <c r="A72">
        <v>-1.894817</v>
      </c>
      <c r="B72">
        <v>-4.203004</v>
      </c>
    </row>
    <row r="73" spans="1:2">
      <c r="A73">
        <v>12.00661</v>
      </c>
      <c r="B73">
        <v>5.6017979999999996</v>
      </c>
    </row>
    <row r="74" spans="1:2">
      <c r="A74">
        <v>1.2339869999999999</v>
      </c>
      <c r="B74">
        <v>1.5700940000000001</v>
      </c>
    </row>
    <row r="75" spans="1:2">
      <c r="A75">
        <v>-1.4463299999999999</v>
      </c>
      <c r="B75">
        <v>-1.084427</v>
      </c>
    </row>
    <row r="76" spans="1:2">
      <c r="A76">
        <v>6.0236190000000001</v>
      </c>
      <c r="B76">
        <v>0.77866999999999997</v>
      </c>
    </row>
    <row r="77" spans="1:2">
      <c r="A77">
        <v>10.512359999999999</v>
      </c>
      <c r="B77">
        <v>6.4706510000000002</v>
      </c>
    </row>
    <row r="78" spans="1:2">
      <c r="A78">
        <v>13.40071</v>
      </c>
      <c r="B78">
        <v>8.9537809999999993</v>
      </c>
    </row>
    <row r="79" spans="1:2">
      <c r="A79">
        <v>-7.7962629999999997</v>
      </c>
      <c r="B79">
        <v>-2.3877619999999999</v>
      </c>
    </row>
    <row r="80" spans="1:2">
      <c r="A80">
        <v>0.21154000000000001</v>
      </c>
      <c r="B80">
        <v>-2.8738389999999998</v>
      </c>
    </row>
    <row r="81" spans="1:2">
      <c r="A81">
        <v>6.4711109999999996</v>
      </c>
      <c r="B81">
        <v>3.4402689999999998</v>
      </c>
    </row>
    <row r="82" spans="1:2">
      <c r="A82">
        <v>-9.0374759999999998</v>
      </c>
      <c r="B82">
        <v>-5.8910530000000003</v>
      </c>
    </row>
    <row r="83" spans="1:2">
      <c r="A83">
        <v>-5.4783809999999997</v>
      </c>
      <c r="B83">
        <v>6.3755819999999996</v>
      </c>
    </row>
    <row r="84" spans="1:2">
      <c r="A84">
        <v>-6.7568820000000001</v>
      </c>
      <c r="B84">
        <v>-5.734839</v>
      </c>
    </row>
    <row r="85" spans="1:2">
      <c r="A85">
        <v>-2.5649600000000001</v>
      </c>
      <c r="B85">
        <v>3.630884</v>
      </c>
    </row>
    <row r="86" spans="1:2">
      <c r="A86">
        <v>2.4565990000000002</v>
      </c>
      <c r="B86">
        <v>-1.3160670000000001</v>
      </c>
    </row>
    <row r="87" spans="1:2">
      <c r="A87">
        <v>1.476421</v>
      </c>
      <c r="B87">
        <v>3.521601</v>
      </c>
    </row>
    <row r="88" spans="1:2">
      <c r="A88">
        <v>17.069400000000002</v>
      </c>
      <c r="B88">
        <v>8.673413</v>
      </c>
    </row>
    <row r="89" spans="1:2">
      <c r="A89">
        <v>7.5657269999999999</v>
      </c>
      <c r="B89">
        <v>6.9143619999999997</v>
      </c>
    </row>
    <row r="90" spans="1:2">
      <c r="A90">
        <v>-3.2393260000000001</v>
      </c>
      <c r="B90">
        <v>-0.46066099999999999</v>
      </c>
    </row>
    <row r="91" spans="1:2">
      <c r="A91">
        <v>3.6625779999999999</v>
      </c>
      <c r="B91">
        <v>4.2959759999999996</v>
      </c>
    </row>
    <row r="92" spans="1:2">
      <c r="A92">
        <v>7.1574549999999997</v>
      </c>
      <c r="B92">
        <v>7.7196930000000004</v>
      </c>
    </row>
    <row r="93" spans="1:2">
      <c r="A93">
        <v>4.7749009999999998</v>
      </c>
      <c r="B93">
        <v>3.0398879999999999</v>
      </c>
    </row>
    <row r="94" spans="1:2">
      <c r="A94">
        <v>4.2377019999999996</v>
      </c>
      <c r="B94">
        <v>2.510224</v>
      </c>
    </row>
    <row r="95" spans="1:2">
      <c r="A95">
        <v>-0.88135200000000002</v>
      </c>
      <c r="B95">
        <v>-3.0394429999999999</v>
      </c>
    </row>
    <row r="96" spans="1:2">
      <c r="A96">
        <v>11.496880000000001</v>
      </c>
      <c r="B96">
        <v>3.7870919999999999</v>
      </c>
    </row>
    <row r="97" spans="1:2">
      <c r="A97">
        <v>-35.566180000000003</v>
      </c>
      <c r="B97">
        <v>-27.869689999999999</v>
      </c>
    </row>
    <row r="98" spans="1:2">
      <c r="A98">
        <v>-14.59137</v>
      </c>
      <c r="B98">
        <v>-9.9563670000000002</v>
      </c>
    </row>
    <row r="99" spans="1:2">
      <c r="A99">
        <v>14.872719999999999</v>
      </c>
      <c r="B99">
        <v>7.9758659999999999</v>
      </c>
    </row>
    <row r="100" spans="1:2">
      <c r="A100">
        <v>1.748599</v>
      </c>
      <c r="B100">
        <v>3.936938</v>
      </c>
    </row>
    <row r="101" spans="1:2">
      <c r="A101">
        <v>-0.606016</v>
      </c>
      <c r="B101">
        <v>-0.32797100000000001</v>
      </c>
    </row>
    <row r="102" spans="1:2">
      <c r="A102">
        <v>-6.0780950000000002</v>
      </c>
      <c r="B102">
        <v>-2.1615440000000001</v>
      </c>
    </row>
    <row r="103" spans="1:2">
      <c r="A103">
        <v>3.9761540000000002</v>
      </c>
      <c r="B103">
        <v>2.7217880000000001</v>
      </c>
    </row>
    <row r="104" spans="1:2">
      <c r="A104">
        <v>-1.05091</v>
      </c>
      <c r="B104">
        <v>-0.51482499999999998</v>
      </c>
    </row>
    <row r="105" spans="1:2">
      <c r="A105">
        <v>3.3178570000000001</v>
      </c>
      <c r="B105">
        <v>3.1287970000000001</v>
      </c>
    </row>
    <row r="106" spans="1:2">
      <c r="A106">
        <v>0.40710000000000002</v>
      </c>
      <c r="B106">
        <v>0.181502</v>
      </c>
    </row>
    <row r="107" spans="1:2">
      <c r="A107">
        <v>-11.87932</v>
      </c>
      <c r="B107">
        <v>-7.8923639999999997</v>
      </c>
    </row>
    <row r="108" spans="1:2">
      <c r="A108">
        <v>-8.8010260000000002</v>
      </c>
      <c r="B108">
        <v>3.3470819999999999</v>
      </c>
    </row>
    <row r="109" spans="1:2">
      <c r="A109">
        <v>6.784211</v>
      </c>
      <c r="B109">
        <v>3.1585920000000001</v>
      </c>
    </row>
    <row r="110" spans="1:2">
      <c r="A110">
        <v>-10.205780000000001</v>
      </c>
      <c r="B110">
        <v>-4.8164699999999998</v>
      </c>
    </row>
    <row r="111" spans="1:2">
      <c r="A111">
        <v>-6.738054</v>
      </c>
      <c r="B111">
        <v>-8.5500000000000003E-3</v>
      </c>
    </row>
    <row r="112" spans="1:2">
      <c r="A112">
        <v>12.839040000000001</v>
      </c>
      <c r="B112">
        <v>13.460979999999999</v>
      </c>
    </row>
    <row r="113" spans="1:2">
      <c r="A113">
        <v>3.302861</v>
      </c>
      <c r="B113">
        <v>-0.76447500000000002</v>
      </c>
    </row>
    <row r="114" spans="1:2">
      <c r="A114">
        <v>-0.155918</v>
      </c>
      <c r="B114">
        <v>2.2984909999999998</v>
      </c>
    </row>
    <row r="115" spans="1:2">
      <c r="A115">
        <v>3.6230910000000001</v>
      </c>
      <c r="B115">
        <v>0.76207499999999995</v>
      </c>
    </row>
    <row r="116" spans="1:2">
      <c r="A116">
        <v>-1.167681</v>
      </c>
      <c r="B116">
        <v>-0.49579600000000001</v>
      </c>
    </row>
    <row r="117" spans="1:2">
      <c r="A117">
        <v>-1.221603</v>
      </c>
      <c r="B117">
        <v>1.206636</v>
      </c>
    </row>
    <row r="118" spans="1:2">
      <c r="A118">
        <v>5.2629029999999997</v>
      </c>
      <c r="B118">
        <v>4.6370259999999996</v>
      </c>
    </row>
    <row r="119" spans="1:2">
      <c r="A119">
        <v>4.8450129999999998</v>
      </c>
      <c r="B119">
        <v>2.6808740000000002</v>
      </c>
    </row>
    <row r="120" spans="1:2">
      <c r="A120">
        <v>-5.0695649999999999</v>
      </c>
      <c r="B120">
        <v>-5.303858</v>
      </c>
    </row>
    <row r="121" spans="1:2">
      <c r="A121">
        <v>-13.579639999999999</v>
      </c>
      <c r="B121">
        <v>-7.2106560000000002</v>
      </c>
    </row>
    <row r="122" spans="1:2">
      <c r="A122">
        <v>1.100608</v>
      </c>
      <c r="B122">
        <v>5.3501859999999999</v>
      </c>
    </row>
    <row r="123" spans="1:2">
      <c r="A123">
        <v>4.9250829999999999</v>
      </c>
      <c r="B123">
        <v>4.1062459999999996</v>
      </c>
    </row>
    <row r="124" spans="1:2">
      <c r="A124">
        <v>-2.5320689999999999</v>
      </c>
      <c r="B124">
        <v>-3.6295470000000001</v>
      </c>
    </row>
    <row r="125" spans="1:2">
      <c r="A125">
        <v>-6.6018730000000003</v>
      </c>
      <c r="B125">
        <v>-5.2058039999999997</v>
      </c>
    </row>
    <row r="126" spans="1:2">
      <c r="A126">
        <v>-1.0237689999999999</v>
      </c>
      <c r="B126">
        <v>-2.1832449999999999</v>
      </c>
    </row>
    <row r="127" spans="1:2">
      <c r="A127">
        <v>-7.0979169999999998</v>
      </c>
      <c r="B127">
        <v>-5.4085640000000001</v>
      </c>
    </row>
    <row r="128" spans="1:2">
      <c r="A128">
        <v>6.376627</v>
      </c>
      <c r="B128">
        <v>10.575989999999999</v>
      </c>
    </row>
    <row r="129" spans="1:2">
      <c r="A129">
        <v>1.8619749999999999</v>
      </c>
      <c r="B129">
        <v>-0.33861200000000002</v>
      </c>
    </row>
    <row r="130" spans="1:2">
      <c r="A130">
        <v>-5.5915270000000001</v>
      </c>
      <c r="B130">
        <v>-2.2131620000000001</v>
      </c>
    </row>
    <row r="131" spans="1:2">
      <c r="A131">
        <v>-15.317589999999999</v>
      </c>
      <c r="B131">
        <v>-8.4761769999999999</v>
      </c>
    </row>
    <row r="132" spans="1:2">
      <c r="A132">
        <v>-10.172269999999999</v>
      </c>
      <c r="B132">
        <v>-7.4594139999999998</v>
      </c>
    </row>
    <row r="133" spans="1:2">
      <c r="A133">
        <v>-2.2173959999999999</v>
      </c>
      <c r="B133">
        <v>-8.5888000000000006E-2</v>
      </c>
    </row>
    <row r="134" spans="1:2">
      <c r="A134">
        <v>5.9742059999999997</v>
      </c>
      <c r="B134">
        <v>5.03477</v>
      </c>
    </row>
    <row r="135" spans="1:2">
      <c r="A135">
        <v>-0.85728899999999997</v>
      </c>
      <c r="B135">
        <v>-1.7677149999999999</v>
      </c>
    </row>
    <row r="136" spans="1:2">
      <c r="A136">
        <v>-3.7801849999999999</v>
      </c>
      <c r="B136">
        <v>0.189108</v>
      </c>
    </row>
    <row r="137" spans="1:2">
      <c r="A137">
        <v>20.647210000000001</v>
      </c>
      <c r="B137">
        <v>10.387409999999999</v>
      </c>
    </row>
    <row r="138" spans="1:2">
      <c r="A138">
        <v>10.94068</v>
      </c>
      <c r="B138">
        <v>2.9219140000000001</v>
      </c>
    </row>
    <row r="139" spans="1:2">
      <c r="A139">
        <v>-3.1456400000000002</v>
      </c>
      <c r="B139">
        <v>0.97172000000000003</v>
      </c>
    </row>
    <row r="140" spans="1:2">
      <c r="A140">
        <v>-3.1428880000000001</v>
      </c>
      <c r="B140">
        <v>-0.431782</v>
      </c>
    </row>
    <row r="141" spans="1:2">
      <c r="A141">
        <v>-1.960866</v>
      </c>
      <c r="B141">
        <v>-3.3429250000000001</v>
      </c>
    </row>
    <row r="142" spans="1:2">
      <c r="A142">
        <v>7.3309639999999998</v>
      </c>
      <c r="B142">
        <v>5.2428119999999998</v>
      </c>
    </row>
    <row r="143" spans="1:2">
      <c r="A143">
        <v>7.8543880000000001</v>
      </c>
      <c r="B143">
        <v>2.880655</v>
      </c>
    </row>
    <row r="144" spans="1:2">
      <c r="A144">
        <v>2.5391780000000002</v>
      </c>
      <c r="B144">
        <v>-1.121472</v>
      </c>
    </row>
    <row r="145" spans="1:2">
      <c r="A145">
        <v>-1.2332449999999999</v>
      </c>
      <c r="B145">
        <v>-3.9695779999999998</v>
      </c>
    </row>
    <row r="146" spans="1:2">
      <c r="A146">
        <v>-11.746040000000001</v>
      </c>
      <c r="B146">
        <v>-5.7079950000000004</v>
      </c>
    </row>
    <row r="147" spans="1:2">
      <c r="A147">
        <v>1.0782259999999999</v>
      </c>
      <c r="B147">
        <v>1.502567</v>
      </c>
    </row>
    <row r="148" spans="1:2">
      <c r="A148">
        <v>5.9379049999999998</v>
      </c>
      <c r="B148">
        <v>2.5995650000000001</v>
      </c>
    </row>
    <row r="149" spans="1:2">
      <c r="A149">
        <v>4.1131840000000004</v>
      </c>
      <c r="B149">
        <v>0.135881</v>
      </c>
    </row>
    <row r="150" spans="1:2">
      <c r="A150">
        <v>-0.65519899999999998</v>
      </c>
      <c r="B150">
        <v>-6.1461379999999997</v>
      </c>
    </row>
    <row r="151" spans="1:2">
      <c r="A151">
        <v>15.2843</v>
      </c>
      <c r="B151">
        <v>10.457369999999999</v>
      </c>
    </row>
    <row r="152" spans="1:2">
      <c r="A152">
        <v>3.9945179999999998</v>
      </c>
      <c r="B152">
        <v>1.4159870000000001</v>
      </c>
    </row>
    <row r="153" spans="1:2">
      <c r="A153">
        <v>-11.944509999999999</v>
      </c>
      <c r="B153">
        <v>-8.2611089999999994</v>
      </c>
    </row>
    <row r="154" spans="1:2">
      <c r="A154">
        <v>-2.5307010000000001</v>
      </c>
      <c r="B154">
        <v>-3.7788119999999998</v>
      </c>
    </row>
    <row r="155" spans="1:2">
      <c r="A155">
        <v>-9.8423660000000002</v>
      </c>
      <c r="B155">
        <v>-5.3868179999999999</v>
      </c>
    </row>
    <row r="156" spans="1:2">
      <c r="A156">
        <v>18.115739999999999</v>
      </c>
      <c r="B156">
        <v>11.19436</v>
      </c>
    </row>
    <row r="157" spans="1:2">
      <c r="A157">
        <v>0.20094999999999999</v>
      </c>
      <c r="B157">
        <v>3.99987</v>
      </c>
    </row>
    <row r="158" spans="1:2">
      <c r="A158">
        <v>1.125853</v>
      </c>
      <c r="B158">
        <v>3.6206749999999999</v>
      </c>
    </row>
    <row r="159" spans="1:2">
      <c r="A159">
        <v>7.6391809999999998</v>
      </c>
      <c r="B159">
        <v>2.887222</v>
      </c>
    </row>
    <row r="160" spans="1:2">
      <c r="A160">
        <v>2.9195690000000001</v>
      </c>
      <c r="B160">
        <v>1.336746</v>
      </c>
    </row>
    <row r="161" spans="1:2">
      <c r="A161">
        <v>-1.0624039999999999</v>
      </c>
      <c r="B161">
        <v>1.2402740000000001</v>
      </c>
    </row>
    <row r="162" spans="1:2">
      <c r="A162">
        <v>1.2926409999999999</v>
      </c>
      <c r="B162">
        <v>0.40714400000000001</v>
      </c>
    </row>
    <row r="163" spans="1:2">
      <c r="A163">
        <v>0.42024099999999998</v>
      </c>
      <c r="B163">
        <v>-1.7349300000000001</v>
      </c>
    </row>
    <row r="164" spans="1:2">
      <c r="A164">
        <v>-2.514081</v>
      </c>
      <c r="B164">
        <v>1.111534</v>
      </c>
    </row>
    <row r="165" spans="1:2">
      <c r="A165">
        <v>0.41936200000000001</v>
      </c>
      <c r="B165">
        <v>1.354128</v>
      </c>
    </row>
    <row r="166" spans="1:2">
      <c r="A166">
        <v>4.3740240000000004</v>
      </c>
      <c r="B166">
        <v>1.9430620000000001</v>
      </c>
    </row>
    <row r="167" spans="1:2">
      <c r="A167">
        <v>1.733528</v>
      </c>
      <c r="B167">
        <v>4.9619799999999996</v>
      </c>
    </row>
    <row r="168" spans="1:2">
      <c r="A168">
        <v>-3.6598090000000001</v>
      </c>
      <c r="B168">
        <v>-1.61873</v>
      </c>
    </row>
    <row r="169" spans="1:2">
      <c r="A169">
        <v>5.8569079999999998</v>
      </c>
      <c r="B169">
        <v>4.2154090000000002</v>
      </c>
    </row>
    <row r="170" spans="1:2">
      <c r="A170">
        <v>-1.36555</v>
      </c>
      <c r="B170">
        <v>1.88036</v>
      </c>
    </row>
    <row r="171" spans="1:2">
      <c r="A171">
        <v>-1.3469789999999999</v>
      </c>
      <c r="B171">
        <v>5.8263530000000001</v>
      </c>
    </row>
    <row r="172" spans="1:2">
      <c r="A172">
        <v>12.89579</v>
      </c>
      <c r="B172">
        <v>2.973541</v>
      </c>
    </row>
    <row r="173" spans="1:2">
      <c r="A173">
        <v>-5.3467010000000004</v>
      </c>
      <c r="B173">
        <v>-5.4798580000000001</v>
      </c>
    </row>
    <row r="174" spans="1:2">
      <c r="A174">
        <v>-7.6147270000000002</v>
      </c>
      <c r="B174">
        <v>-5.7845469999999999</v>
      </c>
    </row>
    <row r="175" spans="1:2">
      <c r="A175">
        <v>10.22043</v>
      </c>
      <c r="B175">
        <v>1.1570830000000001</v>
      </c>
    </row>
    <row r="176" spans="1:2">
      <c r="A176">
        <v>-6.9284220000000003</v>
      </c>
      <c r="B176">
        <v>-6.3561990000000002</v>
      </c>
    </row>
    <row r="177" spans="1:2">
      <c r="A177">
        <v>-5.0659190000000001</v>
      </c>
      <c r="B177">
        <v>-0.843584</v>
      </c>
    </row>
    <row r="178" spans="1:2">
      <c r="A178">
        <v>7.4834990000000001</v>
      </c>
      <c r="B178">
        <v>5.7799529999999999</v>
      </c>
    </row>
    <row r="179" spans="1:2">
      <c r="A179">
        <v>1.8287629999999999</v>
      </c>
      <c r="B179">
        <v>3.29813</v>
      </c>
    </row>
    <row r="180" spans="1:2">
      <c r="A180">
        <v>-5.692933</v>
      </c>
      <c r="B180">
        <v>-7.1100099999999999</v>
      </c>
    </row>
    <row r="181" spans="1:2">
      <c r="A181">
        <v>-2.4269620000000001</v>
      </c>
      <c r="B181">
        <v>2.9680059999999999</v>
      </c>
    </row>
    <row r="182" spans="1:2">
      <c r="A182">
        <v>2.1251009999999999</v>
      </c>
      <c r="B182">
        <v>-1.531245</v>
      </c>
    </row>
    <row r="183" spans="1:2">
      <c r="A183">
        <v>-4.225371</v>
      </c>
      <c r="B183">
        <v>0.26428000000000001</v>
      </c>
    </row>
    <row r="184" spans="1:2">
      <c r="A184">
        <v>-6.3023920000000002</v>
      </c>
      <c r="B184">
        <v>-2.420388</v>
      </c>
    </row>
    <row r="185" spans="1:2">
      <c r="A185">
        <v>1.2786759999999999</v>
      </c>
      <c r="B185">
        <v>0.138795</v>
      </c>
    </row>
    <row r="186" spans="1:2">
      <c r="A186">
        <v>10.908910000000001</v>
      </c>
      <c r="B186">
        <v>3.2316569999999998</v>
      </c>
    </row>
    <row r="187" spans="1:2">
      <c r="A187">
        <v>2.497849</v>
      </c>
      <c r="B187">
        <v>2.215805</v>
      </c>
    </row>
    <row r="188" spans="1:2">
      <c r="A188">
        <v>2.891527</v>
      </c>
      <c r="B188">
        <v>3.856814</v>
      </c>
    </row>
    <row r="189" spans="1:2">
      <c r="A189">
        <v>-3.7730000000000001</v>
      </c>
      <c r="B189">
        <v>-0.95220400000000005</v>
      </c>
    </row>
    <row r="190" spans="1:2">
      <c r="A190">
        <v>8.7762890000000002</v>
      </c>
      <c r="B190">
        <v>4.0200360000000002</v>
      </c>
    </row>
    <row r="191" spans="1:2">
      <c r="A191">
        <v>2.8825609999999999</v>
      </c>
      <c r="B191">
        <v>1.4236</v>
      </c>
    </row>
    <row r="192" spans="1:2">
      <c r="A192">
        <v>2.1469130000000001</v>
      </c>
      <c r="B192">
        <v>-3.7913000000000002E-2</v>
      </c>
    </row>
    <row r="193" spans="1:2">
      <c r="A193">
        <v>-4.5901050000000003</v>
      </c>
      <c r="B193">
        <v>-1.176553</v>
      </c>
    </row>
    <row r="194" spans="1:2">
      <c r="A194">
        <v>-1.293255</v>
      </c>
      <c r="B194">
        <v>3.7602769999999999</v>
      </c>
    </row>
    <row r="195" spans="1:2">
      <c r="A195">
        <v>-4.2441019999999998</v>
      </c>
      <c r="B195">
        <v>0.43462600000000001</v>
      </c>
    </row>
    <row r="196" spans="1:2">
      <c r="A196">
        <v>6.6470890000000002</v>
      </c>
      <c r="B196">
        <v>1.906345</v>
      </c>
    </row>
    <row r="197" spans="1:2">
      <c r="A197">
        <v>1.635901</v>
      </c>
      <c r="B197">
        <v>0.30189899999999997</v>
      </c>
    </row>
    <row r="198" spans="1:2">
      <c r="A198">
        <v>7.8581899999999996</v>
      </c>
      <c r="B198">
        <v>-0.31413200000000002</v>
      </c>
    </row>
    <row r="199" spans="1:2">
      <c r="A199">
        <v>0.78954500000000005</v>
      </c>
      <c r="B199">
        <v>3.034332</v>
      </c>
    </row>
    <row r="200" spans="1:2">
      <c r="A200">
        <v>-0.907725</v>
      </c>
      <c r="B200">
        <v>-1.4973460000000001</v>
      </c>
    </row>
    <row r="201" spans="1:2">
      <c r="A201">
        <v>-0.39224700000000001</v>
      </c>
      <c r="B201">
        <v>-0.89467699999999994</v>
      </c>
    </row>
    <row r="202" spans="1:2">
      <c r="A202">
        <v>-1.0358959999999999</v>
      </c>
      <c r="B202">
        <v>-0.53281599999999996</v>
      </c>
    </row>
    <row r="203" spans="1:2">
      <c r="A203">
        <v>2.556816</v>
      </c>
      <c r="B203">
        <v>3.863737</v>
      </c>
    </row>
    <row r="204" spans="1:2">
      <c r="A204">
        <v>3.1318299999999999</v>
      </c>
      <c r="B204">
        <v>2.118255</v>
      </c>
    </row>
    <row r="205" spans="1:2">
      <c r="A205">
        <v>-2.0947E-2</v>
      </c>
      <c r="B205">
        <v>-0.85355300000000001</v>
      </c>
    </row>
    <row r="206" spans="1:2">
      <c r="A206">
        <v>-5.3122879999999997</v>
      </c>
      <c r="B206">
        <v>1.7703409999999999</v>
      </c>
    </row>
    <row r="207" spans="1:2">
      <c r="A207">
        <v>-5.1961769999999996</v>
      </c>
      <c r="B207">
        <v>1.7025520000000001</v>
      </c>
    </row>
    <row r="208" spans="1:2">
      <c r="A208">
        <v>-0.753247</v>
      </c>
      <c r="B208">
        <v>3.4657529999999999</v>
      </c>
    </row>
    <row r="209" spans="1:2">
      <c r="A209">
        <v>-2.4743439999999999</v>
      </c>
      <c r="B209">
        <v>1.115253</v>
      </c>
    </row>
    <row r="210" spans="1:2">
      <c r="A210">
        <v>2.4764780000000002</v>
      </c>
      <c r="B210">
        <v>-2.0578180000000001</v>
      </c>
    </row>
    <row r="211" spans="1:2">
      <c r="A211">
        <v>-1.1191040000000001</v>
      </c>
      <c r="B211">
        <v>3.5708989999999998</v>
      </c>
    </row>
    <row r="212" spans="1:2">
      <c r="A212">
        <v>3.3520759999999998</v>
      </c>
      <c r="B212">
        <v>1.9534800000000001</v>
      </c>
    </row>
    <row r="213" spans="1:2">
      <c r="A213">
        <v>-1.910172</v>
      </c>
      <c r="B213">
        <v>2.4586999999999999</v>
      </c>
    </row>
    <row r="214" spans="1:2">
      <c r="A214">
        <v>0.142815</v>
      </c>
      <c r="B214">
        <v>2.9923410000000001</v>
      </c>
    </row>
    <row r="215" spans="1:2">
      <c r="A215">
        <v>10.501989999999999</v>
      </c>
      <c r="B215">
        <v>-0.45796799999999999</v>
      </c>
    </row>
    <row r="216" spans="1:2">
      <c r="A216">
        <v>12.98502</v>
      </c>
      <c r="B216">
        <v>8.1112789999999997</v>
      </c>
    </row>
    <row r="217" spans="1:2">
      <c r="A217">
        <v>-4.1347620000000003</v>
      </c>
      <c r="B217">
        <v>-6.9671240000000001</v>
      </c>
    </row>
    <row r="218" spans="1:2">
      <c r="A218">
        <v>-4.1485799999999999</v>
      </c>
      <c r="B218">
        <v>-0.15592500000000001</v>
      </c>
    </row>
    <row r="219" spans="1:2">
      <c r="A219">
        <v>-1.752478</v>
      </c>
      <c r="B219">
        <v>3.8532829999999998</v>
      </c>
    </row>
    <row r="220" spans="1:2">
      <c r="A220">
        <v>-3.3491219999999999</v>
      </c>
      <c r="B220">
        <v>7.3794659999999999</v>
      </c>
    </row>
    <row r="221" spans="1:2">
      <c r="A221">
        <v>14.07471</v>
      </c>
      <c r="B221">
        <v>4.2990979999999999</v>
      </c>
    </row>
    <row r="222" spans="1:2">
      <c r="A222">
        <v>7.7916509999999999</v>
      </c>
      <c r="B222">
        <v>3.4107799999999999</v>
      </c>
    </row>
    <row r="223" spans="1:2">
      <c r="A223">
        <v>5.1546789999999998</v>
      </c>
      <c r="B223">
        <v>-8.1494999999999998E-2</v>
      </c>
    </row>
    <row r="224" spans="1:2">
      <c r="A224">
        <v>3.2936860000000001</v>
      </c>
      <c r="B224">
        <v>-1.6131310000000001</v>
      </c>
    </row>
    <row r="225" spans="1:2">
      <c r="A225">
        <v>-13.254619999999999</v>
      </c>
      <c r="B225">
        <v>-0.397289</v>
      </c>
    </row>
    <row r="226" spans="1:2">
      <c r="A226">
        <v>-7.7142059999999999</v>
      </c>
      <c r="B226">
        <v>-2.237365</v>
      </c>
    </row>
    <row r="227" spans="1:2">
      <c r="A227">
        <v>-15.263400000000001</v>
      </c>
      <c r="B227">
        <v>-12.463200000000001</v>
      </c>
    </row>
    <row r="228" spans="1:2">
      <c r="A228">
        <v>-15.22865</v>
      </c>
      <c r="B228">
        <v>-5.1707349999999996</v>
      </c>
    </row>
    <row r="229" spans="1:2">
      <c r="A229">
        <v>15.96218</v>
      </c>
      <c r="B229">
        <v>11.705450000000001</v>
      </c>
    </row>
    <row r="230" spans="1:2">
      <c r="A230">
        <v>-8.6840890000000002</v>
      </c>
      <c r="B230">
        <v>-0.38019999999999998</v>
      </c>
    </row>
    <row r="231" spans="1:2">
      <c r="A231">
        <v>17.13842</v>
      </c>
      <c r="B231">
        <v>4.9867049999999997</v>
      </c>
    </row>
    <row r="232" spans="1:2">
      <c r="A232">
        <v>-1.4684489999999999</v>
      </c>
      <c r="B232">
        <v>2.4937279999999999</v>
      </c>
    </row>
    <row r="233" spans="1:2">
      <c r="A233">
        <v>8.5036000000000005</v>
      </c>
      <c r="B233">
        <v>0.93710499999999997</v>
      </c>
    </row>
    <row r="234" spans="1:2">
      <c r="A234">
        <v>10.894310000000001</v>
      </c>
      <c r="B234">
        <v>4.2800830000000003</v>
      </c>
    </row>
    <row r="235" spans="1:2">
      <c r="A235">
        <v>13.03497</v>
      </c>
      <c r="B235">
        <v>3.9608240000000001</v>
      </c>
    </row>
    <row r="236" spans="1:2">
      <c r="A236">
        <v>-5.6546719999999997</v>
      </c>
      <c r="B236">
        <v>-4.4991979999999998</v>
      </c>
    </row>
    <row r="237" spans="1:2">
      <c r="A237">
        <v>8.3219689999999993</v>
      </c>
      <c r="B237">
        <v>3.6567460000000001</v>
      </c>
    </row>
    <row r="238" spans="1:2">
      <c r="A238">
        <v>0.50765199999999999</v>
      </c>
      <c r="B238">
        <v>-2.5039720000000001</v>
      </c>
    </row>
    <row r="239" spans="1:2">
      <c r="A239">
        <v>-5.0229809999999997</v>
      </c>
      <c r="B239">
        <v>-0.121902</v>
      </c>
    </row>
    <row r="240" spans="1:2">
      <c r="A240">
        <v>-2.3054489999999999</v>
      </c>
      <c r="B240">
        <v>-5.3880319999999999</v>
      </c>
    </row>
    <row r="241" spans="1:2">
      <c r="A241">
        <v>-1.876879</v>
      </c>
      <c r="B241">
        <v>4.0109899999999996</v>
      </c>
    </row>
    <row r="242" spans="1:2">
      <c r="A242">
        <v>1.3488249999999999</v>
      </c>
      <c r="B242">
        <v>6.2653129999999999</v>
      </c>
    </row>
    <row r="243" spans="1:2">
      <c r="A243">
        <v>-2.6416490000000001</v>
      </c>
      <c r="B243">
        <v>4.0456589999999997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039B-2B2F-4F75-A3E2-EC553F5DBADA}">
  <dimension ref="A1:N58"/>
  <sheetViews>
    <sheetView topLeftCell="A37" workbookViewId="0">
      <selection activeCell="L4" sqref="L4:N58"/>
    </sheetView>
  </sheetViews>
  <sheetFormatPr defaultRowHeight="15"/>
  <cols>
    <col min="3" max="3" width="11.7109375" bestFit="1" customWidth="1"/>
    <col min="5" max="5" width="13.42578125" bestFit="1" customWidth="1"/>
  </cols>
  <sheetData>
    <row r="1" spans="1:14">
      <c r="A1" t="s">
        <v>380</v>
      </c>
    </row>
    <row r="4" spans="1:14">
      <c r="A4" t="s">
        <v>63</v>
      </c>
      <c r="B4" t="s">
        <v>381</v>
      </c>
      <c r="C4" t="s">
        <v>382</v>
      </c>
      <c r="D4" t="s">
        <v>383</v>
      </c>
      <c r="E4" t="s">
        <v>384</v>
      </c>
      <c r="H4" t="s">
        <v>63</v>
      </c>
      <c r="I4" t="s">
        <v>513</v>
      </c>
      <c r="J4" t="s">
        <v>1348</v>
      </c>
      <c r="L4" t="s">
        <v>63</v>
      </c>
      <c r="M4" t="s">
        <v>513</v>
      </c>
      <c r="N4" t="s">
        <v>1348</v>
      </c>
    </row>
    <row r="5" spans="1:14">
      <c r="A5">
        <v>1990</v>
      </c>
      <c r="B5">
        <v>886.6</v>
      </c>
      <c r="C5" s="85">
        <v>886600</v>
      </c>
      <c r="D5" s="85">
        <v>7112.5</v>
      </c>
      <c r="E5" s="85">
        <v>7112500</v>
      </c>
      <c r="H5" t="s">
        <v>1329</v>
      </c>
      <c r="I5">
        <v>230034</v>
      </c>
      <c r="J5">
        <v>969</v>
      </c>
      <c r="L5">
        <f>VALUE(CONCATENATE(LEFT(H5,2),RIGHT(H5,2)))</f>
        <v>1952</v>
      </c>
      <c r="M5">
        <v>230034</v>
      </c>
      <c r="N5">
        <v>969</v>
      </c>
    </row>
    <row r="6" spans="1:14">
      <c r="A6">
        <v>1991</v>
      </c>
      <c r="B6">
        <v>829.1</v>
      </c>
      <c r="C6" s="85">
        <v>829100</v>
      </c>
      <c r="D6" s="85">
        <v>7100.5</v>
      </c>
      <c r="E6" s="85">
        <v>7100500</v>
      </c>
      <c r="H6" t="s">
        <v>1330</v>
      </c>
      <c r="I6">
        <v>236562</v>
      </c>
      <c r="J6">
        <v>845</v>
      </c>
      <c r="L6">
        <f t="shared" ref="L6:L58" si="0">VALUE(CONCATENATE(LEFT(H6,2),RIGHT(H6,2)))</f>
        <v>1953</v>
      </c>
      <c r="M6">
        <v>236562</v>
      </c>
      <c r="N6">
        <v>845</v>
      </c>
    </row>
    <row r="7" spans="1:14">
      <c r="A7">
        <v>1992</v>
      </c>
      <c r="B7">
        <v>878.3</v>
      </c>
      <c r="C7" s="85">
        <v>878300</v>
      </c>
      <c r="D7" s="85">
        <v>7336.6</v>
      </c>
      <c r="E7" s="85">
        <v>7336600</v>
      </c>
      <c r="H7" t="s">
        <v>1331</v>
      </c>
      <c r="I7">
        <v>250960</v>
      </c>
      <c r="J7">
        <v>875</v>
      </c>
      <c r="L7">
        <f t="shared" si="0"/>
        <v>1954</v>
      </c>
      <c r="M7">
        <v>250960</v>
      </c>
      <c r="N7">
        <v>875</v>
      </c>
    </row>
    <row r="8" spans="1:14">
      <c r="A8">
        <v>1993</v>
      </c>
      <c r="B8">
        <v>953.5</v>
      </c>
      <c r="C8" s="85">
        <v>953500</v>
      </c>
      <c r="D8" s="85">
        <v>7532.7</v>
      </c>
      <c r="E8" s="85">
        <v>7532700</v>
      </c>
      <c r="H8" t="s">
        <v>1332</v>
      </c>
      <c r="I8">
        <v>261615</v>
      </c>
      <c r="J8">
        <v>988</v>
      </c>
      <c r="L8">
        <f t="shared" si="0"/>
        <v>1955</v>
      </c>
      <c r="M8">
        <v>261615</v>
      </c>
      <c r="N8">
        <v>988</v>
      </c>
    </row>
    <row r="9" spans="1:14">
      <c r="A9">
        <v>1994</v>
      </c>
      <c r="B9" s="85">
        <v>1042.3</v>
      </c>
      <c r="C9" s="85">
        <v>1042300</v>
      </c>
      <c r="D9" s="85">
        <v>7835.5</v>
      </c>
      <c r="E9" s="85">
        <v>7835500</v>
      </c>
      <c r="H9" t="s">
        <v>1333</v>
      </c>
      <c r="I9">
        <v>268316</v>
      </c>
      <c r="J9">
        <v>1356</v>
      </c>
      <c r="L9">
        <f t="shared" si="0"/>
        <v>1956</v>
      </c>
      <c r="M9">
        <v>268316</v>
      </c>
      <c r="N9">
        <v>1356</v>
      </c>
    </row>
    <row r="10" spans="1:14">
      <c r="A10">
        <v>1995</v>
      </c>
      <c r="B10" s="85">
        <v>1109.5999999999999</v>
      </c>
      <c r="C10" s="85">
        <v>1109600</v>
      </c>
      <c r="D10" s="85">
        <v>8031.7</v>
      </c>
      <c r="E10" s="85">
        <v>8031700</v>
      </c>
      <c r="H10" t="s">
        <v>1334</v>
      </c>
      <c r="I10">
        <v>283589</v>
      </c>
      <c r="J10">
        <v>1561</v>
      </c>
      <c r="L10">
        <f t="shared" si="0"/>
        <v>1957</v>
      </c>
      <c r="M10">
        <v>283589</v>
      </c>
      <c r="N10">
        <v>1561</v>
      </c>
    </row>
    <row r="11" spans="1:14">
      <c r="A11">
        <v>1996</v>
      </c>
      <c r="B11" s="85">
        <v>1209.2</v>
      </c>
      <c r="C11" s="85">
        <v>1209200</v>
      </c>
      <c r="D11" s="85">
        <v>8328.9</v>
      </c>
      <c r="E11" s="85">
        <v>8328900</v>
      </c>
      <c r="H11" t="s">
        <v>1335</v>
      </c>
      <c r="I11">
        <v>280160</v>
      </c>
      <c r="J11">
        <v>1356</v>
      </c>
      <c r="L11">
        <f t="shared" si="0"/>
        <v>1958</v>
      </c>
      <c r="M11">
        <v>280160</v>
      </c>
      <c r="N11">
        <v>1356</v>
      </c>
    </row>
    <row r="12" spans="1:14">
      <c r="A12">
        <v>1997</v>
      </c>
      <c r="B12" s="85">
        <v>1320.6</v>
      </c>
      <c r="C12" s="85">
        <v>1320600</v>
      </c>
      <c r="D12" s="85">
        <v>8703.5</v>
      </c>
      <c r="E12" s="85">
        <v>8703500</v>
      </c>
      <c r="H12" t="s">
        <v>1336</v>
      </c>
      <c r="I12">
        <v>301422</v>
      </c>
      <c r="J12">
        <v>1379</v>
      </c>
      <c r="L12">
        <f t="shared" si="0"/>
        <v>1959</v>
      </c>
      <c r="M12">
        <v>301422</v>
      </c>
      <c r="N12">
        <v>1379</v>
      </c>
    </row>
    <row r="13" spans="1:14">
      <c r="A13">
        <v>1998</v>
      </c>
      <c r="B13" s="85">
        <v>1455</v>
      </c>
      <c r="C13" s="85">
        <v>1455000</v>
      </c>
      <c r="D13" s="85">
        <v>9066.9</v>
      </c>
      <c r="E13" s="85">
        <v>9066900</v>
      </c>
      <c r="H13" t="s">
        <v>1337</v>
      </c>
      <c r="I13">
        <v>308018</v>
      </c>
      <c r="J13">
        <v>1720</v>
      </c>
      <c r="L13">
        <f t="shared" si="0"/>
        <v>1960</v>
      </c>
      <c r="M13">
        <v>308018</v>
      </c>
      <c r="N13">
        <v>1720</v>
      </c>
    </row>
    <row r="14" spans="1:14">
      <c r="A14">
        <v>1999</v>
      </c>
      <c r="B14" s="85">
        <v>1576.3</v>
      </c>
      <c r="C14" s="85">
        <v>1576300</v>
      </c>
      <c r="D14" s="85">
        <v>9470.2999999999993</v>
      </c>
      <c r="E14" s="85">
        <v>9470300</v>
      </c>
      <c r="H14" t="s">
        <v>1338</v>
      </c>
      <c r="I14">
        <v>329825</v>
      </c>
      <c r="J14">
        <v>1952</v>
      </c>
      <c r="L14">
        <f t="shared" si="0"/>
        <v>1961</v>
      </c>
      <c r="M14">
        <v>329825</v>
      </c>
      <c r="N14">
        <v>1952</v>
      </c>
    </row>
    <row r="15" spans="1:14">
      <c r="A15">
        <v>2000</v>
      </c>
      <c r="B15" s="85">
        <v>1679</v>
      </c>
      <c r="C15" s="85">
        <v>1679000</v>
      </c>
      <c r="D15" s="85">
        <v>9817</v>
      </c>
      <c r="E15" s="85">
        <v>9817000</v>
      </c>
      <c r="H15" t="s">
        <v>1339</v>
      </c>
      <c r="I15">
        <v>340060</v>
      </c>
      <c r="J15">
        <v>2074</v>
      </c>
      <c r="L15">
        <f t="shared" si="0"/>
        <v>1962</v>
      </c>
      <c r="M15">
        <v>340060</v>
      </c>
      <c r="N15">
        <v>2074</v>
      </c>
    </row>
    <row r="16" spans="1:14">
      <c r="A16">
        <v>2001</v>
      </c>
      <c r="B16" s="85">
        <v>1629.4</v>
      </c>
      <c r="C16" s="85">
        <v>1629400</v>
      </c>
      <c r="D16" s="85">
        <v>9890.7000000000007</v>
      </c>
      <c r="E16" s="85">
        <v>9890700</v>
      </c>
      <c r="H16" t="s">
        <v>1340</v>
      </c>
      <c r="I16">
        <v>347253</v>
      </c>
      <c r="J16">
        <v>2440</v>
      </c>
      <c r="L16">
        <f t="shared" si="0"/>
        <v>1963</v>
      </c>
      <c r="M16">
        <v>347253</v>
      </c>
      <c r="N16">
        <v>2440</v>
      </c>
    </row>
    <row r="17" spans="1:14">
      <c r="A17">
        <v>2002</v>
      </c>
      <c r="B17" s="85">
        <v>1544.6</v>
      </c>
      <c r="C17" s="85">
        <v>1544600</v>
      </c>
      <c r="D17" s="85">
        <v>10048.799999999999</v>
      </c>
      <c r="E17" s="85">
        <v>10048800</v>
      </c>
      <c r="H17" t="s">
        <v>1341</v>
      </c>
      <c r="I17">
        <v>364834</v>
      </c>
      <c r="J17">
        <v>2703</v>
      </c>
      <c r="L17">
        <f t="shared" si="0"/>
        <v>1964</v>
      </c>
      <c r="M17">
        <v>364834</v>
      </c>
      <c r="N17">
        <v>2703</v>
      </c>
    </row>
    <row r="18" spans="1:14">
      <c r="A18">
        <v>2003</v>
      </c>
      <c r="B18" s="85">
        <v>1596.9</v>
      </c>
      <c r="C18" s="85">
        <v>1596900</v>
      </c>
      <c r="D18" s="85">
        <v>10301</v>
      </c>
      <c r="E18" s="85">
        <v>10301000</v>
      </c>
      <c r="H18" t="s">
        <v>1342</v>
      </c>
      <c r="I18">
        <v>392503</v>
      </c>
      <c r="J18">
        <v>3077</v>
      </c>
      <c r="L18">
        <f t="shared" si="0"/>
        <v>1965</v>
      </c>
      <c r="M18">
        <v>392503</v>
      </c>
      <c r="N18">
        <v>3077</v>
      </c>
    </row>
    <row r="19" spans="1:14">
      <c r="A19">
        <v>2004</v>
      </c>
      <c r="B19" s="85">
        <v>1713.9</v>
      </c>
      <c r="C19" s="85">
        <v>1713900</v>
      </c>
      <c r="D19" s="85">
        <v>10703.5</v>
      </c>
      <c r="E19" s="85">
        <v>10703500</v>
      </c>
      <c r="H19" t="s">
        <v>1343</v>
      </c>
      <c r="I19">
        <v>378157</v>
      </c>
      <c r="J19">
        <v>3833</v>
      </c>
      <c r="L19">
        <f t="shared" si="0"/>
        <v>1966</v>
      </c>
      <c r="M19">
        <v>378157</v>
      </c>
      <c r="N19">
        <v>3833</v>
      </c>
    </row>
    <row r="20" spans="1:14">
      <c r="A20">
        <v>2005</v>
      </c>
      <c r="B20" s="85">
        <v>1842</v>
      </c>
      <c r="C20" s="85">
        <v>1842000</v>
      </c>
      <c r="D20" s="85">
        <v>11048.6</v>
      </c>
      <c r="E20" s="85">
        <v>11048600</v>
      </c>
      <c r="H20" t="s">
        <v>1344</v>
      </c>
      <c r="I20">
        <v>382006</v>
      </c>
      <c r="J20">
        <v>4328</v>
      </c>
      <c r="L20">
        <f t="shared" si="0"/>
        <v>1967</v>
      </c>
      <c r="M20">
        <v>382006</v>
      </c>
      <c r="N20">
        <v>4328</v>
      </c>
    </row>
    <row r="21" spans="1:14">
      <c r="H21" t="s">
        <v>1345</v>
      </c>
      <c r="I21">
        <v>413094</v>
      </c>
      <c r="J21">
        <v>4293</v>
      </c>
      <c r="L21">
        <f t="shared" si="0"/>
        <v>1968</v>
      </c>
      <c r="M21">
        <v>413094</v>
      </c>
      <c r="N21">
        <v>4293</v>
      </c>
    </row>
    <row r="22" spans="1:14">
      <c r="H22" t="s">
        <v>1346</v>
      </c>
      <c r="I22">
        <v>423874</v>
      </c>
      <c r="J22">
        <v>4657</v>
      </c>
      <c r="L22">
        <f t="shared" si="0"/>
        <v>1969</v>
      </c>
      <c r="M22">
        <v>423874</v>
      </c>
      <c r="N22">
        <v>4657</v>
      </c>
    </row>
    <row r="23" spans="1:14">
      <c r="H23" t="s">
        <v>1347</v>
      </c>
      <c r="I23">
        <v>451496</v>
      </c>
      <c r="J23">
        <v>6044</v>
      </c>
      <c r="L23">
        <f t="shared" si="0"/>
        <v>1970</v>
      </c>
      <c r="M23">
        <v>451496</v>
      </c>
      <c r="N23">
        <v>6044</v>
      </c>
    </row>
    <row r="24" spans="1:14">
      <c r="H24" t="s">
        <v>1267</v>
      </c>
      <c r="I24">
        <v>474131</v>
      </c>
      <c r="J24">
        <v>6571</v>
      </c>
      <c r="L24">
        <f t="shared" si="0"/>
        <v>1971</v>
      </c>
      <c r="M24">
        <v>474131</v>
      </c>
      <c r="N24">
        <v>6571</v>
      </c>
    </row>
    <row r="25" spans="1:14">
      <c r="H25" t="s">
        <v>1268</v>
      </c>
      <c r="I25">
        <v>478918</v>
      </c>
      <c r="J25">
        <v>7281</v>
      </c>
      <c r="L25">
        <f t="shared" si="0"/>
        <v>1972</v>
      </c>
      <c r="M25">
        <v>478918</v>
      </c>
      <c r="N25">
        <v>7281</v>
      </c>
    </row>
    <row r="26" spans="1:14">
      <c r="H26" t="s">
        <v>1269</v>
      </c>
      <c r="I26">
        <v>477392</v>
      </c>
      <c r="J26">
        <v>7788</v>
      </c>
      <c r="L26">
        <f t="shared" si="0"/>
        <v>1973</v>
      </c>
      <c r="M26">
        <v>477392</v>
      </c>
      <c r="N26">
        <v>7788</v>
      </c>
    </row>
    <row r="27" spans="1:14">
      <c r="H27" t="s">
        <v>1270</v>
      </c>
      <c r="I27">
        <v>499120</v>
      </c>
      <c r="J27">
        <v>10912</v>
      </c>
      <c r="L27">
        <f t="shared" si="0"/>
        <v>1974</v>
      </c>
      <c r="M27">
        <v>499120</v>
      </c>
      <c r="N27">
        <v>10912</v>
      </c>
    </row>
    <row r="28" spans="1:14">
      <c r="H28" t="s">
        <v>1271</v>
      </c>
      <c r="I28">
        <v>504914</v>
      </c>
      <c r="J28">
        <v>12298</v>
      </c>
      <c r="L28">
        <f t="shared" si="0"/>
        <v>1975</v>
      </c>
      <c r="M28">
        <v>504914</v>
      </c>
      <c r="N28">
        <v>12298</v>
      </c>
    </row>
    <row r="29" spans="1:14">
      <c r="H29" t="s">
        <v>1272</v>
      </c>
      <c r="I29">
        <v>550379</v>
      </c>
      <c r="J29">
        <v>14196</v>
      </c>
      <c r="L29">
        <f t="shared" si="0"/>
        <v>1976</v>
      </c>
      <c r="M29">
        <v>550379</v>
      </c>
      <c r="N29">
        <v>14196</v>
      </c>
    </row>
    <row r="30" spans="1:14">
      <c r="H30" t="s">
        <v>1273</v>
      </c>
      <c r="I30">
        <v>557258</v>
      </c>
      <c r="J30">
        <v>17320</v>
      </c>
      <c r="L30">
        <f t="shared" si="0"/>
        <v>1977</v>
      </c>
      <c r="M30">
        <v>557258</v>
      </c>
      <c r="N30">
        <v>17320</v>
      </c>
    </row>
    <row r="31" spans="1:14">
      <c r="H31" t="s">
        <v>1274</v>
      </c>
      <c r="I31">
        <v>598885</v>
      </c>
      <c r="J31">
        <v>19995</v>
      </c>
      <c r="L31">
        <f t="shared" si="0"/>
        <v>1978</v>
      </c>
      <c r="M31">
        <v>598885</v>
      </c>
      <c r="N31">
        <v>19995</v>
      </c>
    </row>
    <row r="32" spans="1:14">
      <c r="H32" t="s">
        <v>1275</v>
      </c>
      <c r="I32">
        <v>631839</v>
      </c>
      <c r="J32">
        <v>23601</v>
      </c>
      <c r="L32">
        <f t="shared" si="0"/>
        <v>1979</v>
      </c>
      <c r="M32">
        <v>631839</v>
      </c>
      <c r="N32">
        <v>23601</v>
      </c>
    </row>
    <row r="33" spans="8:14">
      <c r="H33" t="s">
        <v>1276</v>
      </c>
      <c r="I33">
        <v>598974</v>
      </c>
      <c r="J33">
        <v>24213</v>
      </c>
      <c r="L33">
        <f t="shared" si="0"/>
        <v>1980</v>
      </c>
      <c r="M33">
        <v>598974</v>
      </c>
      <c r="N33">
        <v>24213</v>
      </c>
    </row>
    <row r="34" spans="8:14">
      <c r="H34" t="s">
        <v>1277</v>
      </c>
      <c r="I34">
        <v>641921</v>
      </c>
      <c r="J34">
        <v>26881</v>
      </c>
      <c r="L34">
        <f t="shared" si="0"/>
        <v>1981</v>
      </c>
      <c r="M34">
        <v>641921</v>
      </c>
      <c r="N34">
        <v>26881</v>
      </c>
    </row>
    <row r="35" spans="8:14">
      <c r="H35" t="s">
        <v>1278</v>
      </c>
      <c r="I35">
        <v>678033</v>
      </c>
      <c r="J35">
        <v>30896</v>
      </c>
      <c r="L35">
        <f t="shared" si="0"/>
        <v>1982</v>
      </c>
      <c r="M35">
        <v>678033</v>
      </c>
      <c r="N35">
        <v>30896</v>
      </c>
    </row>
    <row r="36" spans="8:14">
      <c r="H36" t="s">
        <v>1279</v>
      </c>
      <c r="I36">
        <v>697861</v>
      </c>
      <c r="J36">
        <v>33787</v>
      </c>
      <c r="L36">
        <f t="shared" si="0"/>
        <v>1983</v>
      </c>
      <c r="M36">
        <v>697861</v>
      </c>
      <c r="N36">
        <v>33787</v>
      </c>
    </row>
    <row r="37" spans="8:14">
      <c r="H37" t="s">
        <v>1280</v>
      </c>
      <c r="I37">
        <v>752669</v>
      </c>
      <c r="J37">
        <v>38091</v>
      </c>
      <c r="L37">
        <f t="shared" si="0"/>
        <v>1984</v>
      </c>
      <c r="M37">
        <v>752669</v>
      </c>
      <c r="N37">
        <v>38091</v>
      </c>
    </row>
    <row r="38" spans="8:14">
      <c r="H38" t="s">
        <v>1281</v>
      </c>
      <c r="I38">
        <v>782484</v>
      </c>
      <c r="J38">
        <v>45453</v>
      </c>
      <c r="L38">
        <f t="shared" si="0"/>
        <v>1985</v>
      </c>
      <c r="M38">
        <v>782484</v>
      </c>
      <c r="N38">
        <v>45453</v>
      </c>
    </row>
    <row r="39" spans="8:14">
      <c r="H39" t="s">
        <v>1282</v>
      </c>
      <c r="I39">
        <v>815049</v>
      </c>
      <c r="J39">
        <v>53389</v>
      </c>
      <c r="L39">
        <f t="shared" si="0"/>
        <v>1986</v>
      </c>
      <c r="M39">
        <v>815049</v>
      </c>
      <c r="N39">
        <v>53389</v>
      </c>
    </row>
    <row r="40" spans="8:14">
      <c r="H40" t="s">
        <v>1283</v>
      </c>
      <c r="I40">
        <v>850217</v>
      </c>
      <c r="J40">
        <v>58036</v>
      </c>
      <c r="L40">
        <f t="shared" si="0"/>
        <v>1987</v>
      </c>
      <c r="M40">
        <v>850217</v>
      </c>
      <c r="N40">
        <v>58036</v>
      </c>
    </row>
    <row r="41" spans="8:14">
      <c r="H41" t="s">
        <v>1284</v>
      </c>
      <c r="I41">
        <v>880267</v>
      </c>
      <c r="J41">
        <v>72264</v>
      </c>
      <c r="L41">
        <f t="shared" si="0"/>
        <v>1988</v>
      </c>
      <c r="M41">
        <v>880267</v>
      </c>
      <c r="N41">
        <v>72264</v>
      </c>
    </row>
    <row r="42" spans="8:14">
      <c r="H42" t="s">
        <v>1285</v>
      </c>
      <c r="I42">
        <v>969702</v>
      </c>
      <c r="J42">
        <v>87166</v>
      </c>
      <c r="L42">
        <f t="shared" si="0"/>
        <v>1989</v>
      </c>
      <c r="M42">
        <v>969702</v>
      </c>
      <c r="N42">
        <v>87166</v>
      </c>
    </row>
    <row r="43" spans="8:14">
      <c r="H43" t="s">
        <v>1286</v>
      </c>
      <c r="I43">
        <v>1029178</v>
      </c>
      <c r="J43">
        <v>106092</v>
      </c>
      <c r="L43">
        <f t="shared" si="0"/>
        <v>1990</v>
      </c>
      <c r="M43">
        <v>1029178</v>
      </c>
      <c r="N43">
        <v>106092</v>
      </c>
    </row>
    <row r="44" spans="8:14">
      <c r="H44" t="s">
        <v>1287</v>
      </c>
      <c r="I44">
        <v>1083572</v>
      </c>
      <c r="J44">
        <v>130010</v>
      </c>
      <c r="L44">
        <f t="shared" si="0"/>
        <v>1991</v>
      </c>
      <c r="M44">
        <v>1083572</v>
      </c>
      <c r="N44">
        <v>130010</v>
      </c>
    </row>
    <row r="45" spans="8:14">
      <c r="H45" t="s">
        <v>1288</v>
      </c>
      <c r="I45">
        <v>1099072</v>
      </c>
      <c r="J45">
        <v>141089</v>
      </c>
      <c r="L45">
        <f t="shared" si="0"/>
        <v>1992</v>
      </c>
      <c r="M45">
        <v>1099072</v>
      </c>
      <c r="N45">
        <v>141089</v>
      </c>
    </row>
    <row r="46" spans="8:14">
      <c r="H46" t="s">
        <v>1289</v>
      </c>
      <c r="I46">
        <v>1158025</v>
      </c>
      <c r="J46">
        <v>159682</v>
      </c>
      <c r="L46">
        <f t="shared" si="0"/>
        <v>1993</v>
      </c>
      <c r="M46">
        <v>1158025</v>
      </c>
      <c r="N46">
        <v>159682</v>
      </c>
    </row>
    <row r="47" spans="8:14">
      <c r="H47" t="s">
        <v>1290</v>
      </c>
      <c r="I47">
        <v>1223816</v>
      </c>
      <c r="J47">
        <v>189933</v>
      </c>
      <c r="L47">
        <f t="shared" si="0"/>
        <v>1994</v>
      </c>
      <c r="M47">
        <v>1223816</v>
      </c>
      <c r="N47">
        <v>189933</v>
      </c>
    </row>
    <row r="48" spans="8:14">
      <c r="H48" t="s">
        <v>1291</v>
      </c>
      <c r="I48">
        <v>1302076</v>
      </c>
      <c r="J48">
        <v>247462</v>
      </c>
      <c r="L48">
        <f t="shared" si="0"/>
        <v>1995</v>
      </c>
      <c r="M48">
        <v>1302076</v>
      </c>
      <c r="N48">
        <v>247462</v>
      </c>
    </row>
    <row r="49" spans="8:14">
      <c r="H49" t="s">
        <v>1292</v>
      </c>
      <c r="I49">
        <v>1396974</v>
      </c>
      <c r="J49">
        <v>291002</v>
      </c>
      <c r="L49">
        <f t="shared" si="0"/>
        <v>1996</v>
      </c>
      <c r="M49">
        <v>1396974</v>
      </c>
      <c r="N49">
        <v>291002</v>
      </c>
    </row>
    <row r="50" spans="8:14">
      <c r="H50" t="s">
        <v>1293</v>
      </c>
      <c r="I50">
        <v>1508378</v>
      </c>
      <c r="J50">
        <v>313068</v>
      </c>
      <c r="L50">
        <f t="shared" si="0"/>
        <v>1997</v>
      </c>
      <c r="M50">
        <v>1508378</v>
      </c>
      <c r="N50">
        <v>313068</v>
      </c>
    </row>
    <row r="51" spans="8:14">
      <c r="H51" t="s">
        <v>1294</v>
      </c>
      <c r="I51">
        <v>1573263</v>
      </c>
      <c r="J51">
        <v>363506</v>
      </c>
      <c r="L51">
        <f t="shared" si="0"/>
        <v>1998</v>
      </c>
      <c r="M51">
        <v>1573263</v>
      </c>
      <c r="N51">
        <v>363506</v>
      </c>
    </row>
    <row r="52" spans="8:14">
      <c r="H52" t="s">
        <v>1295</v>
      </c>
      <c r="I52">
        <v>1678410</v>
      </c>
      <c r="J52">
        <v>389747</v>
      </c>
      <c r="L52">
        <f t="shared" si="0"/>
        <v>1999</v>
      </c>
      <c r="M52">
        <v>1678410</v>
      </c>
      <c r="N52">
        <v>389747</v>
      </c>
    </row>
    <row r="53" spans="8:14">
      <c r="H53" t="s">
        <v>1297</v>
      </c>
      <c r="I53">
        <v>1786525</v>
      </c>
      <c r="J53">
        <v>484256</v>
      </c>
      <c r="L53">
        <f t="shared" si="0"/>
        <v>1900</v>
      </c>
      <c r="M53">
        <v>1786525</v>
      </c>
      <c r="N53">
        <v>484256</v>
      </c>
    </row>
    <row r="54" spans="8:14">
      <c r="H54" t="s">
        <v>1298</v>
      </c>
      <c r="I54">
        <v>1864301</v>
      </c>
      <c r="J54">
        <v>499033</v>
      </c>
      <c r="L54">
        <f t="shared" si="0"/>
        <v>2001</v>
      </c>
      <c r="M54">
        <v>1864301</v>
      </c>
      <c r="N54">
        <v>499033</v>
      </c>
    </row>
    <row r="55" spans="8:14">
      <c r="H55" t="s">
        <v>1299</v>
      </c>
      <c r="I55">
        <v>1972606</v>
      </c>
      <c r="J55">
        <v>534885</v>
      </c>
      <c r="L55">
        <f t="shared" si="0"/>
        <v>2002</v>
      </c>
      <c r="M55">
        <v>1972606</v>
      </c>
      <c r="N55">
        <v>534885</v>
      </c>
    </row>
    <row r="56" spans="8:14">
      <c r="H56" t="s">
        <v>1300</v>
      </c>
      <c r="I56">
        <v>2048286</v>
      </c>
      <c r="J56">
        <v>646521</v>
      </c>
      <c r="L56">
        <f t="shared" si="0"/>
        <v>2003</v>
      </c>
      <c r="M56">
        <v>2048286</v>
      </c>
      <c r="N56">
        <v>646521</v>
      </c>
    </row>
    <row r="57" spans="8:14">
      <c r="H57" t="s">
        <v>1301</v>
      </c>
      <c r="I57">
        <v>2222758</v>
      </c>
      <c r="J57">
        <v>820685</v>
      </c>
      <c r="L57">
        <f t="shared" si="0"/>
        <v>2004</v>
      </c>
      <c r="M57">
        <v>2222758</v>
      </c>
      <c r="N57">
        <v>820685</v>
      </c>
    </row>
    <row r="58" spans="8:14">
      <c r="H58" t="s">
        <v>1302</v>
      </c>
      <c r="I58">
        <v>2388768</v>
      </c>
      <c r="J58">
        <v>997873</v>
      </c>
      <c r="L58">
        <f t="shared" si="0"/>
        <v>2005</v>
      </c>
      <c r="M58">
        <v>2388768</v>
      </c>
      <c r="N58">
        <v>997873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5C45-3983-47C0-936C-6F0A5F579946}">
  <dimension ref="A1:N27"/>
  <sheetViews>
    <sheetView topLeftCell="A6" workbookViewId="0">
      <selection activeCell="J5" sqref="J5:N27"/>
    </sheetView>
  </sheetViews>
  <sheetFormatPr defaultRowHeight="15"/>
  <sheetData>
    <row r="1" spans="1:14">
      <c r="A1" t="s">
        <v>385</v>
      </c>
    </row>
    <row r="2" spans="1:14">
      <c r="A2" t="s">
        <v>386</v>
      </c>
    </row>
    <row r="3" spans="1:14">
      <c r="A3" t="s">
        <v>184</v>
      </c>
    </row>
    <row r="5" spans="1:14">
      <c r="A5" t="s">
        <v>1258</v>
      </c>
      <c r="B5" t="s">
        <v>387</v>
      </c>
      <c r="C5" t="s">
        <v>388</v>
      </c>
      <c r="D5" t="s">
        <v>389</v>
      </c>
      <c r="E5" t="s">
        <v>390</v>
      </c>
      <c r="F5" t="s">
        <v>63</v>
      </c>
      <c r="G5" t="s">
        <v>415</v>
      </c>
      <c r="J5" t="s">
        <v>63</v>
      </c>
      <c r="K5" t="s">
        <v>1349</v>
      </c>
      <c r="L5" t="s">
        <v>1350</v>
      </c>
      <c r="M5" t="s">
        <v>1351</v>
      </c>
      <c r="N5" t="s">
        <v>1352</v>
      </c>
    </row>
    <row r="6" spans="1:14">
      <c r="A6" t="s">
        <v>391</v>
      </c>
      <c r="B6" s="85">
        <v>4143.3</v>
      </c>
      <c r="C6">
        <v>971.4</v>
      </c>
      <c r="D6" s="85">
        <v>2072.5</v>
      </c>
      <c r="E6" s="85">
        <v>7184.9</v>
      </c>
      <c r="F6">
        <f>VALUE(LEFT(A6,4))</f>
        <v>2003</v>
      </c>
      <c r="G6" s="86">
        <v>1</v>
      </c>
      <c r="J6">
        <v>1985</v>
      </c>
      <c r="K6">
        <v>389306</v>
      </c>
      <c r="L6">
        <v>56532</v>
      </c>
      <c r="M6">
        <v>85123</v>
      </c>
      <c r="N6">
        <v>651495</v>
      </c>
    </row>
    <row r="7" spans="1:14">
      <c r="A7" t="s">
        <v>392</v>
      </c>
      <c r="B7" s="85">
        <v>4161.3</v>
      </c>
      <c r="C7" s="85">
        <v>1009.8</v>
      </c>
      <c r="D7" s="85">
        <v>2084.1999999999998</v>
      </c>
      <c r="E7" s="85">
        <v>7249.3</v>
      </c>
      <c r="F7">
        <f t="shared" ref="F7:F20" si="0">VALUE(LEFT(A7,4))</f>
        <v>2003</v>
      </c>
      <c r="G7" s="86">
        <v>2</v>
      </c>
      <c r="J7">
        <v>1986</v>
      </c>
      <c r="K7">
        <v>402672</v>
      </c>
      <c r="L7">
        <v>61210</v>
      </c>
      <c r="M7">
        <v>89507</v>
      </c>
      <c r="N7">
        <v>680420</v>
      </c>
    </row>
    <row r="8" spans="1:14">
      <c r="A8" t="s">
        <v>393</v>
      </c>
      <c r="B8" s="85">
        <v>4190.7</v>
      </c>
      <c r="C8" s="85">
        <v>1049.5999999999999</v>
      </c>
      <c r="D8" s="85">
        <v>2123</v>
      </c>
      <c r="E8" s="85">
        <v>7352.9</v>
      </c>
      <c r="F8">
        <f t="shared" si="0"/>
        <v>2003</v>
      </c>
      <c r="G8" s="86">
        <v>3</v>
      </c>
      <c r="J8">
        <v>1987</v>
      </c>
      <c r="K8">
        <v>403558</v>
      </c>
      <c r="L8">
        <v>63694</v>
      </c>
      <c r="M8">
        <v>99668</v>
      </c>
      <c r="N8">
        <v>698991</v>
      </c>
    </row>
    <row r="9" spans="1:14">
      <c r="A9" t="s">
        <v>394</v>
      </c>
      <c r="B9" s="85">
        <v>4220.2</v>
      </c>
      <c r="C9" s="85">
        <v>1051.4000000000001</v>
      </c>
      <c r="D9" s="85">
        <v>2132.5</v>
      </c>
      <c r="E9" s="85">
        <v>7394.3</v>
      </c>
      <c r="F9">
        <f t="shared" si="0"/>
        <v>2003</v>
      </c>
      <c r="G9" s="86">
        <v>4</v>
      </c>
      <c r="J9">
        <v>1988</v>
      </c>
      <c r="K9">
        <v>411811</v>
      </c>
      <c r="L9">
        <v>65683</v>
      </c>
      <c r="M9">
        <v>106923</v>
      </c>
      <c r="N9">
        <v>721499</v>
      </c>
    </row>
    <row r="10" spans="1:14">
      <c r="A10" t="s">
        <v>395</v>
      </c>
      <c r="B10" s="85">
        <v>4268.2</v>
      </c>
      <c r="C10" s="85">
        <v>1067</v>
      </c>
      <c r="D10" s="85">
        <v>2155.3000000000002</v>
      </c>
      <c r="E10" s="85">
        <v>7479.8</v>
      </c>
      <c r="F10">
        <f t="shared" si="0"/>
        <v>2004</v>
      </c>
      <c r="G10" s="86">
        <v>1</v>
      </c>
      <c r="J10">
        <v>1989</v>
      </c>
      <c r="K10">
        <v>441161</v>
      </c>
      <c r="L10">
        <v>70338</v>
      </c>
      <c r="M10">
        <v>115102</v>
      </c>
      <c r="N10">
        <v>769480</v>
      </c>
    </row>
    <row r="11" spans="1:14">
      <c r="A11" t="s">
        <v>396</v>
      </c>
      <c r="B11" s="85">
        <v>4308.3999999999996</v>
      </c>
      <c r="C11" s="85">
        <v>1071.4000000000001</v>
      </c>
      <c r="D11" s="85">
        <v>2164.3000000000002</v>
      </c>
      <c r="E11" s="85">
        <v>7534.4</v>
      </c>
      <c r="F11">
        <f t="shared" si="0"/>
        <v>2004</v>
      </c>
      <c r="G11" s="86">
        <v>2</v>
      </c>
      <c r="J11">
        <v>1990</v>
      </c>
      <c r="K11">
        <v>457060</v>
      </c>
      <c r="L11">
        <v>72856</v>
      </c>
      <c r="M11">
        <v>124161</v>
      </c>
      <c r="N11">
        <v>804428</v>
      </c>
    </row>
    <row r="12" spans="1:14">
      <c r="A12" t="s">
        <v>397</v>
      </c>
      <c r="B12" s="85">
        <v>4341.5</v>
      </c>
      <c r="C12" s="85">
        <v>1093.9000000000001</v>
      </c>
      <c r="D12" s="85">
        <v>2184</v>
      </c>
      <c r="E12" s="85">
        <v>7607.1</v>
      </c>
      <c r="F12">
        <f t="shared" si="0"/>
        <v>2004</v>
      </c>
      <c r="G12" s="86">
        <v>3</v>
      </c>
      <c r="J12">
        <v>1991</v>
      </c>
      <c r="K12">
        <v>478056</v>
      </c>
      <c r="L12">
        <v>76752</v>
      </c>
      <c r="M12">
        <v>133395</v>
      </c>
      <c r="N12">
        <v>843556</v>
      </c>
    </row>
    <row r="13" spans="1:14">
      <c r="A13" t="s">
        <v>398</v>
      </c>
      <c r="B13" s="85">
        <v>4377.3999999999996</v>
      </c>
      <c r="C13" s="85">
        <v>1110.3</v>
      </c>
      <c r="D13" s="85">
        <v>2213.1</v>
      </c>
      <c r="E13" s="85">
        <v>7687.1</v>
      </c>
      <c r="F13">
        <f t="shared" si="0"/>
        <v>2004</v>
      </c>
      <c r="G13" s="86">
        <v>4</v>
      </c>
      <c r="J13">
        <v>1992</v>
      </c>
      <c r="K13">
        <v>486943</v>
      </c>
      <c r="L13">
        <v>73143</v>
      </c>
      <c r="M13">
        <v>140117</v>
      </c>
      <c r="N13">
        <v>860869</v>
      </c>
    </row>
    <row r="14" spans="1:14">
      <c r="A14" t="s">
        <v>399</v>
      </c>
      <c r="B14" s="85">
        <v>4395.3</v>
      </c>
      <c r="C14" s="85">
        <v>1116.8</v>
      </c>
      <c r="D14" s="85">
        <v>2241.5</v>
      </c>
      <c r="E14" s="85">
        <v>7739.4</v>
      </c>
      <c r="F14">
        <f t="shared" si="0"/>
        <v>2005</v>
      </c>
      <c r="G14" s="86">
        <v>1</v>
      </c>
      <c r="J14">
        <v>1993</v>
      </c>
      <c r="K14">
        <v>488447</v>
      </c>
      <c r="L14">
        <v>74744</v>
      </c>
      <c r="M14">
        <v>147772</v>
      </c>
      <c r="N14">
        <v>879689</v>
      </c>
    </row>
    <row r="15" spans="1:14">
      <c r="A15" t="s">
        <v>400</v>
      </c>
      <c r="B15" s="85">
        <v>4420</v>
      </c>
      <c r="C15" s="85">
        <v>1150.8</v>
      </c>
      <c r="D15" s="85">
        <v>2268.4</v>
      </c>
      <c r="E15" s="85">
        <v>7819.8</v>
      </c>
      <c r="F15">
        <f t="shared" si="0"/>
        <v>2005</v>
      </c>
      <c r="G15" s="86">
        <v>2</v>
      </c>
      <c r="J15">
        <v>1994</v>
      </c>
      <c r="K15">
        <v>512281</v>
      </c>
      <c r="L15">
        <v>81260</v>
      </c>
      <c r="M15">
        <v>155897</v>
      </c>
      <c r="N15">
        <v>918944</v>
      </c>
    </row>
    <row r="16" spans="1:14">
      <c r="A16" t="s">
        <v>401</v>
      </c>
      <c r="B16" s="85">
        <v>4454.5</v>
      </c>
      <c r="C16" s="85">
        <v>1175.9000000000001</v>
      </c>
      <c r="D16" s="85">
        <v>2287.6</v>
      </c>
      <c r="E16" s="85">
        <v>7895.3</v>
      </c>
      <c r="F16">
        <f t="shared" si="0"/>
        <v>2005</v>
      </c>
      <c r="G16" s="86">
        <v>3</v>
      </c>
      <c r="J16">
        <v>1995</v>
      </c>
      <c r="K16">
        <v>529468</v>
      </c>
      <c r="L16">
        <v>81057</v>
      </c>
      <c r="M16">
        <v>172656</v>
      </c>
      <c r="N16">
        <v>961346</v>
      </c>
    </row>
    <row r="17" spans="1:14">
      <c r="A17" t="s">
        <v>402</v>
      </c>
      <c r="B17" s="85">
        <v>4476.7</v>
      </c>
      <c r="C17" s="85">
        <v>1137.9000000000001</v>
      </c>
      <c r="D17" s="85">
        <v>2309.6</v>
      </c>
      <c r="E17" s="85">
        <v>7910.2</v>
      </c>
      <c r="F17">
        <f t="shared" si="0"/>
        <v>2005</v>
      </c>
      <c r="G17" s="86">
        <v>4</v>
      </c>
      <c r="J17">
        <v>1996</v>
      </c>
      <c r="K17">
        <v>552288</v>
      </c>
      <c r="L17">
        <v>87475</v>
      </c>
      <c r="M17">
        <v>190179</v>
      </c>
      <c r="N17">
        <v>1018423</v>
      </c>
    </row>
    <row r="18" spans="1:14">
      <c r="A18" t="s">
        <v>403</v>
      </c>
      <c r="B18" s="85">
        <v>4494.5</v>
      </c>
      <c r="C18" s="85">
        <v>1190.5</v>
      </c>
      <c r="D18" s="85">
        <v>2342.8000000000002</v>
      </c>
      <c r="E18" s="85">
        <v>8003.8</v>
      </c>
      <c r="F18">
        <f t="shared" si="0"/>
        <v>2006</v>
      </c>
      <c r="G18" s="86">
        <v>1</v>
      </c>
      <c r="J18">
        <v>1997</v>
      </c>
      <c r="K18">
        <v>599003</v>
      </c>
      <c r="L18">
        <v>92736</v>
      </c>
      <c r="M18">
        <v>208281</v>
      </c>
      <c r="N18">
        <v>1097390</v>
      </c>
    </row>
    <row r="19" spans="1:14">
      <c r="A19" t="s">
        <v>404</v>
      </c>
      <c r="B19" s="85">
        <v>4535.3999999999996</v>
      </c>
      <c r="C19" s="85">
        <v>1190.3</v>
      </c>
      <c r="D19" s="85">
        <v>2351.1</v>
      </c>
      <c r="E19" s="85">
        <v>8055</v>
      </c>
      <c r="F19">
        <f t="shared" si="0"/>
        <v>2006</v>
      </c>
      <c r="G19" s="86">
        <v>2</v>
      </c>
      <c r="J19">
        <v>1998</v>
      </c>
      <c r="K19">
        <v>588457</v>
      </c>
      <c r="L19">
        <v>99721</v>
      </c>
      <c r="M19">
        <v>223813</v>
      </c>
      <c r="N19">
        <v>1122195</v>
      </c>
    </row>
    <row r="20" spans="1:14">
      <c r="A20" t="s">
        <v>405</v>
      </c>
      <c r="B20" s="85">
        <v>4566.6000000000004</v>
      </c>
      <c r="C20" s="85">
        <v>1208.8</v>
      </c>
      <c r="D20" s="85">
        <v>2360.1</v>
      </c>
      <c r="E20" s="85">
        <v>8111.2</v>
      </c>
      <c r="F20">
        <f t="shared" si="0"/>
        <v>2006</v>
      </c>
      <c r="G20" s="86">
        <v>3</v>
      </c>
      <c r="J20">
        <v>1999</v>
      </c>
      <c r="K20">
        <v>634428</v>
      </c>
      <c r="L20">
        <v>96071</v>
      </c>
      <c r="M20">
        <v>239920</v>
      </c>
      <c r="N20">
        <v>1190267</v>
      </c>
    </row>
    <row r="21" spans="1:14">
      <c r="A21" t="s">
        <v>406</v>
      </c>
      <c r="G21" s="85"/>
      <c r="J21">
        <v>2000</v>
      </c>
      <c r="K21">
        <v>647011</v>
      </c>
      <c r="L21">
        <v>107231</v>
      </c>
      <c r="M21">
        <v>262128</v>
      </c>
      <c r="N21">
        <v>1257541</v>
      </c>
    </row>
    <row r="22" spans="1:14">
      <c r="A22" t="s">
        <v>407</v>
      </c>
      <c r="J22">
        <v>2001</v>
      </c>
      <c r="K22">
        <v>618316</v>
      </c>
      <c r="L22">
        <v>121302</v>
      </c>
      <c r="M22">
        <v>295235</v>
      </c>
      <c r="N22">
        <v>1292986</v>
      </c>
    </row>
    <row r="23" spans="1:14">
      <c r="A23" t="s">
        <v>408</v>
      </c>
      <c r="J23">
        <v>2002</v>
      </c>
      <c r="K23">
        <v>654176</v>
      </c>
      <c r="L23">
        <v>120616</v>
      </c>
      <c r="M23">
        <v>318564</v>
      </c>
      <c r="N23">
        <v>1367758</v>
      </c>
    </row>
    <row r="24" spans="1:14">
      <c r="A24" t="s">
        <v>409</v>
      </c>
      <c r="J24">
        <v>2003</v>
      </c>
      <c r="K24">
        <v>626269</v>
      </c>
      <c r="L24">
        <v>125855</v>
      </c>
      <c r="M24">
        <v>354057</v>
      </c>
      <c r="N24">
        <v>1397069</v>
      </c>
    </row>
    <row r="25" spans="1:14">
      <c r="J25">
        <v>2004</v>
      </c>
      <c r="K25">
        <v>657626</v>
      </c>
      <c r="L25">
        <v>127776</v>
      </c>
      <c r="M25">
        <v>399568</v>
      </c>
      <c r="N25">
        <v>1493871</v>
      </c>
    </row>
    <row r="26" spans="1:14">
      <c r="J26">
        <v>2005</v>
      </c>
      <c r="K26">
        <v>652864</v>
      </c>
      <c r="L26">
        <v>142936</v>
      </c>
      <c r="M26">
        <v>451773</v>
      </c>
      <c r="N26">
        <v>1579255</v>
      </c>
    </row>
    <row r="27" spans="1:14">
      <c r="J27">
        <v>2006</v>
      </c>
      <c r="K27">
        <v>684665</v>
      </c>
      <c r="L27">
        <v>158738</v>
      </c>
      <c r="M27">
        <v>494747</v>
      </c>
      <c r="N27">
        <v>1689861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912AB-D47C-4F3A-ACA8-AF5256F41B5C}">
  <dimension ref="A1:D67"/>
  <sheetViews>
    <sheetView workbookViewId="0">
      <selection sqref="A1:D67"/>
    </sheetView>
  </sheetViews>
  <sheetFormatPr defaultRowHeight="15"/>
  <sheetData>
    <row r="1" spans="1:4">
      <c r="A1" t="s">
        <v>410</v>
      </c>
    </row>
    <row r="3" spans="1:4">
      <c r="A3" t="s">
        <v>411</v>
      </c>
      <c r="B3" t="s">
        <v>412</v>
      </c>
      <c r="C3" t="s">
        <v>413</v>
      </c>
      <c r="D3" t="s">
        <v>414</v>
      </c>
    </row>
    <row r="4" spans="1:4">
      <c r="A4">
        <v>128</v>
      </c>
      <c r="B4">
        <v>37</v>
      </c>
      <c r="C4">
        <v>1870</v>
      </c>
      <c r="D4">
        <v>6.66</v>
      </c>
    </row>
    <row r="5" spans="1:4">
      <c r="A5">
        <v>204</v>
      </c>
      <c r="B5">
        <v>22</v>
      </c>
      <c r="C5">
        <v>130</v>
      </c>
      <c r="D5">
        <v>6.15</v>
      </c>
    </row>
    <row r="6" spans="1:4">
      <c r="A6">
        <v>202</v>
      </c>
      <c r="B6">
        <v>16</v>
      </c>
      <c r="C6">
        <v>310</v>
      </c>
      <c r="D6">
        <v>7</v>
      </c>
    </row>
    <row r="7" spans="1:4">
      <c r="A7">
        <v>197</v>
      </c>
      <c r="B7">
        <v>65</v>
      </c>
      <c r="C7">
        <v>570</v>
      </c>
      <c r="D7">
        <v>6.25</v>
      </c>
    </row>
    <row r="8" spans="1:4">
      <c r="A8">
        <v>96</v>
      </c>
      <c r="B8">
        <v>76</v>
      </c>
      <c r="C8">
        <v>2050</v>
      </c>
      <c r="D8">
        <v>3.81</v>
      </c>
    </row>
    <row r="9" spans="1:4">
      <c r="A9">
        <v>209</v>
      </c>
      <c r="B9">
        <v>26</v>
      </c>
      <c r="C9">
        <v>200</v>
      </c>
      <c r="D9">
        <v>6.44</v>
      </c>
    </row>
    <row r="10" spans="1:4">
      <c r="A10">
        <v>170</v>
      </c>
      <c r="B10">
        <v>45</v>
      </c>
      <c r="C10">
        <v>670</v>
      </c>
      <c r="D10">
        <v>6.19</v>
      </c>
    </row>
    <row r="11" spans="1:4">
      <c r="A11">
        <v>240</v>
      </c>
      <c r="B11">
        <v>29</v>
      </c>
      <c r="C11">
        <v>300</v>
      </c>
      <c r="D11">
        <v>5.89</v>
      </c>
    </row>
    <row r="12" spans="1:4">
      <c r="A12">
        <v>241</v>
      </c>
      <c r="B12">
        <v>11</v>
      </c>
      <c r="C12">
        <v>120</v>
      </c>
      <c r="D12">
        <v>5.89</v>
      </c>
    </row>
    <row r="13" spans="1:4">
      <c r="A13">
        <v>55</v>
      </c>
      <c r="B13">
        <v>55</v>
      </c>
      <c r="C13">
        <v>290</v>
      </c>
      <c r="D13">
        <v>2.36</v>
      </c>
    </row>
    <row r="14" spans="1:4">
      <c r="A14">
        <v>75</v>
      </c>
      <c r="B14">
        <v>87</v>
      </c>
      <c r="C14">
        <v>1180</v>
      </c>
      <c r="D14">
        <v>3.93</v>
      </c>
    </row>
    <row r="15" spans="1:4">
      <c r="A15">
        <v>129</v>
      </c>
      <c r="B15">
        <v>55</v>
      </c>
      <c r="C15">
        <v>900</v>
      </c>
      <c r="D15">
        <v>5.99</v>
      </c>
    </row>
    <row r="16" spans="1:4">
      <c r="A16">
        <v>24</v>
      </c>
      <c r="B16">
        <v>93</v>
      </c>
      <c r="C16">
        <v>1730</v>
      </c>
      <c r="D16">
        <v>3.5</v>
      </c>
    </row>
    <row r="17" spans="1:4">
      <c r="A17">
        <v>165</v>
      </c>
      <c r="B17">
        <v>31</v>
      </c>
      <c r="C17">
        <v>1150</v>
      </c>
      <c r="D17">
        <v>7.41</v>
      </c>
    </row>
    <row r="18" spans="1:4">
      <c r="A18">
        <v>94</v>
      </c>
      <c r="B18">
        <v>77</v>
      </c>
      <c r="C18">
        <v>1160</v>
      </c>
      <c r="D18">
        <v>4.21</v>
      </c>
    </row>
    <row r="19" spans="1:4">
      <c r="A19">
        <v>96</v>
      </c>
      <c r="B19">
        <v>80</v>
      </c>
      <c r="C19">
        <v>1270</v>
      </c>
      <c r="D19">
        <v>5</v>
      </c>
    </row>
    <row r="20" spans="1:4">
      <c r="A20">
        <v>148</v>
      </c>
      <c r="B20">
        <v>30</v>
      </c>
      <c r="C20">
        <v>580</v>
      </c>
      <c r="D20">
        <v>5.27</v>
      </c>
    </row>
    <row r="21" spans="1:4">
      <c r="A21">
        <v>98</v>
      </c>
      <c r="B21">
        <v>69</v>
      </c>
      <c r="C21">
        <v>660</v>
      </c>
      <c r="D21">
        <v>5.21</v>
      </c>
    </row>
    <row r="22" spans="1:4">
      <c r="A22">
        <v>161</v>
      </c>
      <c r="B22">
        <v>43</v>
      </c>
      <c r="C22">
        <v>420</v>
      </c>
      <c r="D22">
        <v>6.5</v>
      </c>
    </row>
    <row r="23" spans="1:4">
      <c r="A23">
        <v>118</v>
      </c>
      <c r="B23">
        <v>47</v>
      </c>
      <c r="C23">
        <v>1080</v>
      </c>
      <c r="D23">
        <v>6.12</v>
      </c>
    </row>
    <row r="24" spans="1:4">
      <c r="A24">
        <v>269</v>
      </c>
      <c r="B24">
        <v>17</v>
      </c>
      <c r="C24">
        <v>290</v>
      </c>
      <c r="D24">
        <v>6.19</v>
      </c>
    </row>
    <row r="25" spans="1:4">
      <c r="A25">
        <v>189</v>
      </c>
      <c r="B25">
        <v>35</v>
      </c>
      <c r="C25">
        <v>270</v>
      </c>
      <c r="D25">
        <v>5.05</v>
      </c>
    </row>
    <row r="26" spans="1:4">
      <c r="A26">
        <v>126</v>
      </c>
      <c r="B26">
        <v>58</v>
      </c>
      <c r="C26">
        <v>560</v>
      </c>
      <c r="D26">
        <v>6.16</v>
      </c>
    </row>
    <row r="27" spans="1:4">
      <c r="A27">
        <v>12</v>
      </c>
      <c r="B27">
        <v>81</v>
      </c>
      <c r="C27">
        <v>4240</v>
      </c>
      <c r="D27">
        <v>1.8</v>
      </c>
    </row>
    <row r="28" spans="1:4">
      <c r="A28">
        <v>167</v>
      </c>
      <c r="B28">
        <v>29</v>
      </c>
      <c r="C28">
        <v>240</v>
      </c>
      <c r="D28">
        <v>4.75</v>
      </c>
    </row>
    <row r="29" spans="1:4">
      <c r="A29">
        <v>135</v>
      </c>
      <c r="B29">
        <v>65</v>
      </c>
      <c r="C29">
        <v>430</v>
      </c>
      <c r="D29">
        <v>4.0999999999999996</v>
      </c>
    </row>
    <row r="30" spans="1:4">
      <c r="A30">
        <v>107</v>
      </c>
      <c r="B30">
        <v>87</v>
      </c>
      <c r="C30">
        <v>3020</v>
      </c>
      <c r="D30">
        <v>6.66</v>
      </c>
    </row>
    <row r="31" spans="1:4">
      <c r="A31">
        <v>72</v>
      </c>
      <c r="B31">
        <v>63</v>
      </c>
      <c r="C31">
        <v>1420</v>
      </c>
      <c r="D31">
        <v>7.28</v>
      </c>
    </row>
    <row r="32" spans="1:4">
      <c r="A32">
        <v>128</v>
      </c>
      <c r="B32">
        <v>49</v>
      </c>
      <c r="C32">
        <v>420</v>
      </c>
      <c r="D32">
        <v>8.1199999999999992</v>
      </c>
    </row>
    <row r="33" spans="1:4">
      <c r="A33">
        <v>27</v>
      </c>
      <c r="B33">
        <v>63</v>
      </c>
      <c r="C33">
        <v>19830</v>
      </c>
      <c r="D33">
        <v>5.23</v>
      </c>
    </row>
    <row r="34" spans="1:4">
      <c r="A34">
        <v>152</v>
      </c>
      <c r="B34">
        <v>84</v>
      </c>
      <c r="C34">
        <v>420</v>
      </c>
      <c r="D34">
        <v>5.79</v>
      </c>
    </row>
    <row r="35" spans="1:4">
      <c r="A35">
        <v>224</v>
      </c>
      <c r="B35">
        <v>23</v>
      </c>
      <c r="C35">
        <v>530</v>
      </c>
      <c r="D35">
        <v>6.5</v>
      </c>
    </row>
    <row r="36" spans="1:4">
      <c r="A36">
        <v>142</v>
      </c>
      <c r="B36">
        <v>50</v>
      </c>
      <c r="C36">
        <v>8640</v>
      </c>
      <c r="D36">
        <v>7.17</v>
      </c>
    </row>
    <row r="37" spans="1:4">
      <c r="A37">
        <v>104</v>
      </c>
      <c r="B37">
        <v>62</v>
      </c>
      <c r="C37">
        <v>350</v>
      </c>
      <c r="D37">
        <v>6.6</v>
      </c>
    </row>
    <row r="38" spans="1:4">
      <c r="A38">
        <v>287</v>
      </c>
      <c r="B38">
        <v>31</v>
      </c>
      <c r="C38">
        <v>230</v>
      </c>
      <c r="D38">
        <v>7</v>
      </c>
    </row>
    <row r="39" spans="1:4">
      <c r="A39">
        <v>41</v>
      </c>
      <c r="B39">
        <v>66</v>
      </c>
      <c r="C39">
        <v>1620</v>
      </c>
      <c r="D39">
        <v>3.91</v>
      </c>
    </row>
    <row r="40" spans="1:4">
      <c r="A40">
        <v>312</v>
      </c>
      <c r="B40">
        <v>11</v>
      </c>
      <c r="C40">
        <v>190</v>
      </c>
      <c r="D40">
        <v>6.7</v>
      </c>
    </row>
    <row r="41" spans="1:4">
      <c r="A41">
        <v>77</v>
      </c>
      <c r="B41">
        <v>88</v>
      </c>
      <c r="C41">
        <v>2090</v>
      </c>
      <c r="D41">
        <v>4.2</v>
      </c>
    </row>
    <row r="42" spans="1:4">
      <c r="A42">
        <v>142</v>
      </c>
      <c r="B42">
        <v>22</v>
      </c>
      <c r="C42">
        <v>900</v>
      </c>
      <c r="D42">
        <v>5.43</v>
      </c>
    </row>
    <row r="43" spans="1:4">
      <c r="A43">
        <v>262</v>
      </c>
      <c r="B43">
        <v>22</v>
      </c>
      <c r="C43">
        <v>230</v>
      </c>
      <c r="D43">
        <v>6.5</v>
      </c>
    </row>
    <row r="44" spans="1:4">
      <c r="A44">
        <v>215</v>
      </c>
      <c r="B44">
        <v>12</v>
      </c>
      <c r="C44">
        <v>140</v>
      </c>
      <c r="D44">
        <v>6.25</v>
      </c>
    </row>
    <row r="45" spans="1:4">
      <c r="A45">
        <v>246</v>
      </c>
      <c r="B45">
        <v>9</v>
      </c>
      <c r="C45">
        <v>330</v>
      </c>
      <c r="D45">
        <v>7.1</v>
      </c>
    </row>
    <row r="46" spans="1:4">
      <c r="A46">
        <v>191</v>
      </c>
      <c r="B46">
        <v>31</v>
      </c>
      <c r="C46">
        <v>1010</v>
      </c>
      <c r="D46">
        <v>7.1</v>
      </c>
    </row>
    <row r="47" spans="1:4">
      <c r="A47">
        <v>182</v>
      </c>
      <c r="B47">
        <v>19</v>
      </c>
      <c r="C47">
        <v>300</v>
      </c>
      <c r="D47">
        <v>7</v>
      </c>
    </row>
    <row r="48" spans="1:4">
      <c r="A48">
        <v>37</v>
      </c>
      <c r="B48">
        <v>88</v>
      </c>
      <c r="C48">
        <v>1730</v>
      </c>
      <c r="D48">
        <v>3.46</v>
      </c>
    </row>
    <row r="49" spans="1:4">
      <c r="A49">
        <v>103</v>
      </c>
      <c r="B49">
        <v>35</v>
      </c>
      <c r="C49">
        <v>780</v>
      </c>
      <c r="D49">
        <v>5.66</v>
      </c>
    </row>
    <row r="50" spans="1:4">
      <c r="A50">
        <v>67</v>
      </c>
      <c r="B50">
        <v>85</v>
      </c>
      <c r="C50">
        <v>1300</v>
      </c>
      <c r="D50">
        <v>4.82</v>
      </c>
    </row>
    <row r="51" spans="1:4">
      <c r="A51">
        <v>143</v>
      </c>
      <c r="B51">
        <v>78</v>
      </c>
      <c r="C51">
        <v>930</v>
      </c>
      <c r="D51">
        <v>5</v>
      </c>
    </row>
    <row r="52" spans="1:4">
      <c r="A52">
        <v>83</v>
      </c>
      <c r="B52">
        <v>85</v>
      </c>
      <c r="C52">
        <v>690</v>
      </c>
      <c r="D52">
        <v>4.74</v>
      </c>
    </row>
    <row r="53" spans="1:4">
      <c r="A53">
        <v>223</v>
      </c>
      <c r="B53">
        <v>33</v>
      </c>
      <c r="C53">
        <v>200</v>
      </c>
      <c r="D53">
        <v>8.49</v>
      </c>
    </row>
    <row r="54" spans="1:4">
      <c r="A54">
        <v>240</v>
      </c>
      <c r="B54">
        <v>19</v>
      </c>
      <c r="C54">
        <v>450</v>
      </c>
      <c r="D54">
        <v>6.5</v>
      </c>
    </row>
    <row r="55" spans="1:4">
      <c r="A55">
        <v>312</v>
      </c>
      <c r="B55">
        <v>21</v>
      </c>
      <c r="C55">
        <v>280</v>
      </c>
      <c r="D55">
        <v>6.5</v>
      </c>
    </row>
    <row r="56" spans="1:4">
      <c r="A56">
        <v>12</v>
      </c>
      <c r="B56">
        <v>79</v>
      </c>
      <c r="C56">
        <v>4430</v>
      </c>
      <c r="D56">
        <v>1.69</v>
      </c>
    </row>
    <row r="57" spans="1:4">
      <c r="A57">
        <v>52</v>
      </c>
      <c r="B57">
        <v>83</v>
      </c>
      <c r="C57">
        <v>270</v>
      </c>
      <c r="D57">
        <v>3.25</v>
      </c>
    </row>
    <row r="58" spans="1:4">
      <c r="A58">
        <v>79</v>
      </c>
      <c r="B58">
        <v>43</v>
      </c>
      <c r="C58">
        <v>1340</v>
      </c>
      <c r="D58">
        <v>7.17</v>
      </c>
    </row>
    <row r="59" spans="1:4">
      <c r="A59">
        <v>61</v>
      </c>
      <c r="B59">
        <v>88</v>
      </c>
      <c r="C59">
        <v>670</v>
      </c>
      <c r="D59">
        <v>3.52</v>
      </c>
    </row>
    <row r="60" spans="1:4">
      <c r="A60">
        <v>168</v>
      </c>
      <c r="B60">
        <v>28</v>
      </c>
      <c r="C60">
        <v>410</v>
      </c>
      <c r="D60">
        <v>6.09</v>
      </c>
    </row>
    <row r="61" spans="1:4">
      <c r="A61">
        <v>28</v>
      </c>
      <c r="B61">
        <v>95</v>
      </c>
      <c r="C61">
        <v>4370</v>
      </c>
      <c r="D61">
        <v>2.86</v>
      </c>
    </row>
    <row r="62" spans="1:4">
      <c r="A62">
        <v>121</v>
      </c>
      <c r="B62">
        <v>41</v>
      </c>
      <c r="C62">
        <v>1310</v>
      </c>
      <c r="D62">
        <v>4.88</v>
      </c>
    </row>
    <row r="63" spans="1:4">
      <c r="A63">
        <v>115</v>
      </c>
      <c r="B63">
        <v>62</v>
      </c>
      <c r="C63">
        <v>1470</v>
      </c>
      <c r="D63">
        <v>3.89</v>
      </c>
    </row>
    <row r="64" spans="1:4">
      <c r="A64">
        <v>186</v>
      </c>
      <c r="B64">
        <v>45</v>
      </c>
      <c r="C64">
        <v>300</v>
      </c>
      <c r="D64">
        <v>6.9</v>
      </c>
    </row>
    <row r="65" spans="1:4">
      <c r="A65">
        <v>47</v>
      </c>
      <c r="B65">
        <v>85</v>
      </c>
      <c r="C65">
        <v>3630</v>
      </c>
      <c r="D65">
        <v>4.0999999999999996</v>
      </c>
    </row>
    <row r="66" spans="1:4">
      <c r="A66">
        <v>178</v>
      </c>
      <c r="B66">
        <v>45</v>
      </c>
      <c r="C66">
        <v>220</v>
      </c>
      <c r="D66">
        <v>6.09</v>
      </c>
    </row>
    <row r="67" spans="1:4">
      <c r="A67">
        <v>142</v>
      </c>
      <c r="B67">
        <v>67</v>
      </c>
      <c r="C67">
        <v>560</v>
      </c>
      <c r="D67">
        <v>7.2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845D-805D-4B2C-8403-F1EA7D129C4C}">
  <dimension ref="A1:C50"/>
  <sheetViews>
    <sheetView topLeftCell="A7" workbookViewId="0">
      <selection activeCell="E3" sqref="E3:G26"/>
    </sheetView>
  </sheetViews>
  <sheetFormatPr defaultRowHeight="15"/>
  <sheetData>
    <row r="1" spans="1:3">
      <c r="A1" t="s">
        <v>416</v>
      </c>
    </row>
    <row r="3" spans="1:3">
      <c r="A3" t="s">
        <v>63</v>
      </c>
      <c r="B3" t="s">
        <v>417</v>
      </c>
      <c r="C3" t="s">
        <v>418</v>
      </c>
    </row>
    <row r="4" spans="1:3">
      <c r="A4">
        <v>1960</v>
      </c>
      <c r="B4">
        <v>1.718</v>
      </c>
      <c r="C4">
        <v>5.5</v>
      </c>
    </row>
    <row r="5" spans="1:3">
      <c r="A5">
        <v>1961</v>
      </c>
      <c r="B5">
        <v>1.014</v>
      </c>
      <c r="C5">
        <v>6.7</v>
      </c>
    </row>
    <row r="6" spans="1:3">
      <c r="A6">
        <v>1962</v>
      </c>
      <c r="B6">
        <v>1.0029999999999999</v>
      </c>
      <c r="C6">
        <v>5.5</v>
      </c>
    </row>
    <row r="7" spans="1:3">
      <c r="A7">
        <v>1963</v>
      </c>
      <c r="B7">
        <v>1.325</v>
      </c>
      <c r="C7">
        <v>5.7</v>
      </c>
    </row>
    <row r="8" spans="1:3">
      <c r="A8">
        <v>1964</v>
      </c>
      <c r="B8">
        <v>1.3069999999999999</v>
      </c>
      <c r="C8">
        <v>5.2</v>
      </c>
    </row>
    <row r="9" spans="1:3">
      <c r="A9">
        <v>1965</v>
      </c>
      <c r="B9">
        <v>1.613</v>
      </c>
      <c r="C9">
        <v>4.5</v>
      </c>
    </row>
    <row r="10" spans="1:3">
      <c r="A10">
        <v>1966</v>
      </c>
      <c r="B10">
        <v>2.8570000000000002</v>
      </c>
      <c r="C10">
        <v>3.8</v>
      </c>
    </row>
    <row r="11" spans="1:3">
      <c r="A11">
        <v>1967</v>
      </c>
      <c r="B11">
        <v>3.0859999999999999</v>
      </c>
      <c r="C11">
        <v>3.8</v>
      </c>
    </row>
    <row r="12" spans="1:3">
      <c r="A12">
        <v>1968</v>
      </c>
      <c r="B12">
        <v>4.1920000000000002</v>
      </c>
      <c r="C12">
        <v>3.6</v>
      </c>
    </row>
    <row r="13" spans="1:3">
      <c r="A13">
        <v>1969</v>
      </c>
      <c r="B13">
        <v>5.46</v>
      </c>
      <c r="C13">
        <v>3.5</v>
      </c>
    </row>
    <row r="14" spans="1:3">
      <c r="A14">
        <v>1970</v>
      </c>
      <c r="B14">
        <v>5.7220000000000004</v>
      </c>
      <c r="C14">
        <v>4.9000000000000004</v>
      </c>
    </row>
    <row r="15" spans="1:3">
      <c r="A15">
        <v>1971</v>
      </c>
      <c r="B15">
        <v>4.3810000000000002</v>
      </c>
      <c r="C15">
        <v>5.9</v>
      </c>
    </row>
    <row r="16" spans="1:3">
      <c r="A16">
        <v>1972</v>
      </c>
      <c r="B16">
        <v>3.21</v>
      </c>
      <c r="C16">
        <v>5.6</v>
      </c>
    </row>
    <row r="17" spans="1:3">
      <c r="A17">
        <v>1973</v>
      </c>
      <c r="B17">
        <v>6.22</v>
      </c>
      <c r="C17">
        <v>4.9000000000000004</v>
      </c>
    </row>
    <row r="18" spans="1:3">
      <c r="A18">
        <v>1974</v>
      </c>
      <c r="B18">
        <v>11.036</v>
      </c>
      <c r="C18">
        <v>5.6</v>
      </c>
    </row>
    <row r="19" spans="1:3">
      <c r="A19">
        <v>1975</v>
      </c>
      <c r="B19">
        <v>9.1280000000000001</v>
      </c>
      <c r="C19">
        <v>8.5</v>
      </c>
    </row>
    <row r="20" spans="1:3">
      <c r="A20">
        <v>1976</v>
      </c>
      <c r="B20">
        <v>5.7619999999999996</v>
      </c>
      <c r="C20">
        <v>7.7</v>
      </c>
    </row>
    <row r="21" spans="1:3">
      <c r="A21">
        <v>1977</v>
      </c>
      <c r="B21">
        <v>6.5030000000000001</v>
      </c>
      <c r="C21">
        <v>7.1</v>
      </c>
    </row>
    <row r="22" spans="1:3">
      <c r="A22">
        <v>1978</v>
      </c>
      <c r="B22">
        <v>7.5910000000000002</v>
      </c>
      <c r="C22">
        <v>6.1</v>
      </c>
    </row>
    <row r="23" spans="1:3">
      <c r="A23">
        <v>1979</v>
      </c>
      <c r="B23">
        <v>11.35</v>
      </c>
      <c r="C23">
        <v>5.8</v>
      </c>
    </row>
    <row r="24" spans="1:3">
      <c r="A24">
        <v>1980</v>
      </c>
      <c r="B24">
        <v>13.499000000000001</v>
      </c>
      <c r="C24">
        <v>7.1</v>
      </c>
    </row>
    <row r="25" spans="1:3">
      <c r="A25">
        <v>1981</v>
      </c>
      <c r="B25">
        <v>10.316000000000001</v>
      </c>
      <c r="C25">
        <v>7.6</v>
      </c>
    </row>
    <row r="26" spans="1:3">
      <c r="A26">
        <v>1982</v>
      </c>
      <c r="B26">
        <v>6.1609999999999996</v>
      </c>
      <c r="C26">
        <v>9.6999999999999993</v>
      </c>
    </row>
    <row r="27" spans="1:3">
      <c r="A27">
        <v>1983</v>
      </c>
      <c r="B27">
        <v>3.2120000000000002</v>
      </c>
      <c r="C27">
        <v>9.6</v>
      </c>
    </row>
    <row r="28" spans="1:3">
      <c r="A28">
        <v>1984</v>
      </c>
      <c r="B28">
        <v>4.3170000000000002</v>
      </c>
      <c r="C28">
        <v>7.5</v>
      </c>
    </row>
    <row r="29" spans="1:3">
      <c r="A29">
        <v>1985</v>
      </c>
      <c r="B29">
        <v>3.5609999999999999</v>
      </c>
      <c r="C29">
        <v>7.2</v>
      </c>
    </row>
    <row r="30" spans="1:3">
      <c r="A30">
        <v>1986</v>
      </c>
      <c r="B30">
        <v>1.859</v>
      </c>
      <c r="C30">
        <v>7</v>
      </c>
    </row>
    <row r="31" spans="1:3">
      <c r="A31">
        <v>1987</v>
      </c>
      <c r="B31">
        <v>3.65</v>
      </c>
      <c r="C31">
        <v>6.2</v>
      </c>
    </row>
    <row r="32" spans="1:3">
      <c r="A32">
        <v>1988</v>
      </c>
      <c r="B32">
        <v>4.1369999999999996</v>
      </c>
      <c r="C32">
        <v>5.5</v>
      </c>
    </row>
    <row r="33" spans="1:3">
      <c r="A33">
        <v>1989</v>
      </c>
      <c r="B33">
        <v>4.8179999999999996</v>
      </c>
      <c r="C33">
        <v>5.3</v>
      </c>
    </row>
    <row r="34" spans="1:3">
      <c r="A34">
        <v>1990</v>
      </c>
      <c r="B34">
        <v>5.4029999999999996</v>
      </c>
      <c r="C34">
        <v>5.6</v>
      </c>
    </row>
    <row r="35" spans="1:3">
      <c r="A35">
        <v>1991</v>
      </c>
      <c r="B35">
        <v>4.2080000000000002</v>
      </c>
      <c r="C35">
        <v>6.8</v>
      </c>
    </row>
    <row r="36" spans="1:3">
      <c r="A36">
        <v>1992</v>
      </c>
      <c r="B36">
        <v>3.01</v>
      </c>
      <c r="C36">
        <v>7.5</v>
      </c>
    </row>
    <row r="37" spans="1:3">
      <c r="A37">
        <v>1993</v>
      </c>
      <c r="B37">
        <v>2.9940000000000002</v>
      </c>
      <c r="C37">
        <v>6.9</v>
      </c>
    </row>
    <row r="38" spans="1:3">
      <c r="A38">
        <v>1994</v>
      </c>
      <c r="B38">
        <v>2.5609999999999999</v>
      </c>
      <c r="C38">
        <v>6.1</v>
      </c>
    </row>
    <row r="39" spans="1:3">
      <c r="A39">
        <v>1995</v>
      </c>
      <c r="B39">
        <v>2.8340000000000001</v>
      </c>
      <c r="C39">
        <v>5.6</v>
      </c>
    </row>
    <row r="40" spans="1:3">
      <c r="A40">
        <v>1996</v>
      </c>
      <c r="B40">
        <v>2.9529999999999998</v>
      </c>
      <c r="C40">
        <v>5.4</v>
      </c>
    </row>
    <row r="41" spans="1:3">
      <c r="A41">
        <v>1997</v>
      </c>
      <c r="B41">
        <v>2.294</v>
      </c>
      <c r="C41">
        <v>4.9000000000000004</v>
      </c>
    </row>
    <row r="42" spans="1:3">
      <c r="A42">
        <v>1998</v>
      </c>
      <c r="B42">
        <v>1.5580000000000001</v>
      </c>
      <c r="C42">
        <v>4.5</v>
      </c>
    </row>
    <row r="43" spans="1:3">
      <c r="A43">
        <v>1999</v>
      </c>
      <c r="B43">
        <v>2.2090000000000001</v>
      </c>
      <c r="C43">
        <v>4.2</v>
      </c>
    </row>
    <row r="44" spans="1:3">
      <c r="A44">
        <v>2000</v>
      </c>
      <c r="B44">
        <v>3.3610000000000002</v>
      </c>
      <c r="C44">
        <v>4</v>
      </c>
    </row>
    <row r="45" spans="1:3">
      <c r="A45">
        <v>2001</v>
      </c>
      <c r="B45">
        <v>2.8460000000000001</v>
      </c>
      <c r="C45">
        <v>4.7</v>
      </c>
    </row>
    <row r="46" spans="1:3">
      <c r="A46">
        <v>2002</v>
      </c>
      <c r="B46">
        <v>1.581</v>
      </c>
      <c r="C46">
        <v>5.8</v>
      </c>
    </row>
    <row r="47" spans="1:3">
      <c r="A47">
        <v>2003</v>
      </c>
      <c r="B47">
        <v>2.2789999999999999</v>
      </c>
      <c r="C47">
        <v>6</v>
      </c>
    </row>
    <row r="48" spans="1:3">
      <c r="A48">
        <v>2004</v>
      </c>
      <c r="B48">
        <v>2.6629999999999998</v>
      </c>
      <c r="C48">
        <v>5.5</v>
      </c>
    </row>
    <row r="49" spans="1:3">
      <c r="A49">
        <v>2005</v>
      </c>
      <c r="B49">
        <v>3.3879999999999999</v>
      </c>
      <c r="C49">
        <v>5.0999999999999996</v>
      </c>
    </row>
    <row r="50" spans="1:3">
      <c r="A50">
        <v>2006</v>
      </c>
      <c r="B50">
        <v>3.226</v>
      </c>
      <c r="C50">
        <v>4.5999999999999996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A293-BB5E-4E49-B3A5-CD02BB591DCE}">
  <dimension ref="A1:H29"/>
  <sheetViews>
    <sheetView workbookViewId="0">
      <selection activeCell="M6" sqref="M6:N6"/>
    </sheetView>
  </sheetViews>
  <sheetFormatPr defaultRowHeight="15"/>
  <cols>
    <col min="13" max="13" width="11" bestFit="1" customWidth="1"/>
  </cols>
  <sheetData>
    <row r="1" spans="1:8">
      <c r="A1" s="3" t="s">
        <v>62</v>
      </c>
      <c r="B1" s="2"/>
      <c r="C1" s="2"/>
      <c r="D1" s="2"/>
      <c r="E1" s="2"/>
      <c r="F1" s="2"/>
      <c r="G1" s="2"/>
      <c r="H1" s="2"/>
    </row>
    <row r="3" spans="1:8">
      <c r="A3" s="5" t="s">
        <v>63</v>
      </c>
      <c r="B3" s="2" t="s">
        <v>64</v>
      </c>
      <c r="C3" s="2" t="s">
        <v>65</v>
      </c>
      <c r="D3" s="2" t="s">
        <v>66</v>
      </c>
      <c r="E3" s="2" t="s">
        <v>67</v>
      </c>
      <c r="F3" s="2" t="s">
        <v>68</v>
      </c>
      <c r="G3" s="2" t="s">
        <v>69</v>
      </c>
      <c r="H3" s="2" t="s">
        <v>70</v>
      </c>
    </row>
    <row r="4" spans="1:8">
      <c r="A4" s="6">
        <v>1980</v>
      </c>
      <c r="B4" s="4">
        <v>82.4</v>
      </c>
      <c r="C4" s="4">
        <v>76.099999999999994</v>
      </c>
      <c r="D4" s="4">
        <v>90.9</v>
      </c>
      <c r="E4" s="4">
        <v>72.3</v>
      </c>
      <c r="F4" s="4">
        <v>86.7</v>
      </c>
      <c r="G4" s="4">
        <v>63.2</v>
      </c>
      <c r="H4" s="4">
        <v>78.5</v>
      </c>
    </row>
    <row r="5" spans="1:8">
      <c r="A5" s="6">
        <v>1981</v>
      </c>
      <c r="B5" s="4">
        <v>90.9</v>
      </c>
      <c r="C5" s="4">
        <v>85.6</v>
      </c>
      <c r="D5" s="4">
        <v>95.3</v>
      </c>
      <c r="E5" s="4">
        <v>81.900000000000006</v>
      </c>
      <c r="F5" s="4">
        <v>92.2</v>
      </c>
      <c r="G5" s="4">
        <v>75.400000000000006</v>
      </c>
      <c r="H5" s="4">
        <v>87.9</v>
      </c>
    </row>
    <row r="6" spans="1:8">
      <c r="A6" s="6">
        <v>1982</v>
      </c>
      <c r="B6" s="4">
        <v>96.5</v>
      </c>
      <c r="C6" s="4">
        <v>94.9</v>
      </c>
      <c r="D6" s="4">
        <v>98.1</v>
      </c>
      <c r="E6" s="4">
        <v>91.7</v>
      </c>
      <c r="F6" s="4">
        <v>97.1</v>
      </c>
      <c r="G6" s="4">
        <v>87.7</v>
      </c>
      <c r="H6" s="4">
        <v>95.4</v>
      </c>
    </row>
    <row r="7" spans="1:8">
      <c r="A7" s="6">
        <v>1983</v>
      </c>
      <c r="B7" s="4">
        <v>99.6</v>
      </c>
      <c r="C7" s="4">
        <v>100.4</v>
      </c>
      <c r="D7" s="4">
        <v>99.8</v>
      </c>
      <c r="E7" s="4">
        <v>100.4</v>
      </c>
      <c r="F7" s="4">
        <v>100.3</v>
      </c>
      <c r="G7" s="4">
        <v>100.8</v>
      </c>
      <c r="H7" s="4">
        <v>99.8</v>
      </c>
    </row>
    <row r="8" spans="1:8">
      <c r="A8" s="6">
        <v>1984</v>
      </c>
      <c r="B8" s="4">
        <v>103.9</v>
      </c>
      <c r="C8" s="4">
        <v>104.7</v>
      </c>
      <c r="D8" s="4">
        <v>102.1</v>
      </c>
      <c r="E8" s="4">
        <v>108.1</v>
      </c>
      <c r="F8" s="4">
        <v>102.7</v>
      </c>
      <c r="G8" s="4">
        <v>111.5</v>
      </c>
      <c r="H8" s="4">
        <v>104.8</v>
      </c>
    </row>
    <row r="9" spans="1:8">
      <c r="A9" s="6">
        <v>1985</v>
      </c>
      <c r="B9" s="4">
        <v>107.6</v>
      </c>
      <c r="C9" s="4">
        <v>109</v>
      </c>
      <c r="D9" s="4">
        <v>104.2</v>
      </c>
      <c r="E9" s="4">
        <v>114.4</v>
      </c>
      <c r="F9" s="4">
        <v>104.8</v>
      </c>
      <c r="G9" s="4">
        <v>121.1</v>
      </c>
      <c r="H9" s="4">
        <v>111.1</v>
      </c>
    </row>
    <row r="10" spans="1:8">
      <c r="A10" s="6">
        <v>1986</v>
      </c>
      <c r="B10" s="4">
        <v>109.6</v>
      </c>
      <c r="C10" s="4">
        <v>113.5</v>
      </c>
      <c r="D10" s="4">
        <v>104.9</v>
      </c>
      <c r="E10" s="4">
        <v>117.3</v>
      </c>
      <c r="F10" s="4">
        <v>104.7</v>
      </c>
      <c r="G10" s="4">
        <v>128.5</v>
      </c>
      <c r="H10" s="4">
        <v>114.9</v>
      </c>
    </row>
    <row r="11" spans="1:8">
      <c r="A11" s="6">
        <v>1987</v>
      </c>
      <c r="B11" s="4">
        <v>113.6</v>
      </c>
      <c r="C11" s="4">
        <v>118.4</v>
      </c>
      <c r="D11" s="4">
        <v>104.9</v>
      </c>
      <c r="E11" s="4">
        <v>121.1</v>
      </c>
      <c r="F11" s="4">
        <v>104.9</v>
      </c>
      <c r="G11" s="4">
        <v>134.4</v>
      </c>
      <c r="H11" s="4">
        <v>119.7</v>
      </c>
    </row>
    <row r="12" spans="1:8">
      <c r="A12" s="6">
        <v>1988</v>
      </c>
      <c r="B12" s="4">
        <v>118.3</v>
      </c>
      <c r="C12" s="4">
        <v>123.2</v>
      </c>
      <c r="D12" s="4">
        <v>105.6</v>
      </c>
      <c r="E12" s="4">
        <v>124.4</v>
      </c>
      <c r="F12" s="4">
        <v>106.3</v>
      </c>
      <c r="G12" s="4">
        <v>141.1</v>
      </c>
      <c r="H12" s="4">
        <v>125.6</v>
      </c>
    </row>
    <row r="13" spans="1:8">
      <c r="A13" s="6">
        <v>1989</v>
      </c>
      <c r="B13" s="4">
        <v>124</v>
      </c>
      <c r="C13" s="4">
        <v>129.30000000000001</v>
      </c>
      <c r="D13" s="4">
        <v>108</v>
      </c>
      <c r="E13" s="4">
        <v>128.69999999999999</v>
      </c>
      <c r="F13" s="4">
        <v>109.2</v>
      </c>
      <c r="G13" s="4">
        <v>150.4</v>
      </c>
      <c r="H13" s="4">
        <v>135.30000000000001</v>
      </c>
    </row>
    <row r="14" spans="1:8">
      <c r="A14" s="6">
        <v>1990</v>
      </c>
      <c r="B14" s="4">
        <v>130.69999999999999</v>
      </c>
      <c r="C14" s="4">
        <v>135.5</v>
      </c>
      <c r="D14" s="4">
        <v>111.4</v>
      </c>
      <c r="E14" s="4">
        <v>133</v>
      </c>
      <c r="F14" s="4">
        <v>112.2</v>
      </c>
      <c r="G14" s="4">
        <v>159.6</v>
      </c>
      <c r="H14" s="4">
        <v>148.19999999999999</v>
      </c>
    </row>
    <row r="15" spans="1:8">
      <c r="A15" s="6">
        <v>1991</v>
      </c>
      <c r="B15" s="4">
        <v>136.19999999999999</v>
      </c>
      <c r="C15" s="4">
        <v>143.1</v>
      </c>
      <c r="D15" s="4">
        <v>115</v>
      </c>
      <c r="E15" s="4">
        <v>137.19999999999999</v>
      </c>
      <c r="F15" s="4">
        <v>116.3</v>
      </c>
      <c r="G15" s="4">
        <v>169.8</v>
      </c>
      <c r="H15" s="4">
        <v>156.9</v>
      </c>
    </row>
    <row r="16" spans="1:8">
      <c r="A16" s="6">
        <v>1992</v>
      </c>
      <c r="B16" s="4">
        <v>140.30000000000001</v>
      </c>
      <c r="C16" s="4">
        <v>145.30000000000001</v>
      </c>
      <c r="D16" s="4">
        <v>117</v>
      </c>
      <c r="E16" s="4">
        <v>140.5</v>
      </c>
      <c r="F16" s="4">
        <v>122.1</v>
      </c>
      <c r="G16" s="4">
        <v>178.8</v>
      </c>
      <c r="H16" s="4">
        <v>162.69999999999999</v>
      </c>
    </row>
    <row r="17" spans="1:8">
      <c r="A17" s="6">
        <v>1993</v>
      </c>
      <c r="B17" s="4">
        <v>144.5</v>
      </c>
      <c r="C17" s="4">
        <v>147.9</v>
      </c>
      <c r="D17" s="4">
        <v>118.5</v>
      </c>
      <c r="E17" s="4">
        <v>143.5</v>
      </c>
      <c r="F17" s="4">
        <v>127.6</v>
      </c>
      <c r="G17" s="4">
        <v>186.4</v>
      </c>
      <c r="H17" s="4">
        <v>165.3</v>
      </c>
    </row>
    <row r="18" spans="1:8">
      <c r="A18" s="6">
        <v>1994</v>
      </c>
      <c r="B18" s="4">
        <v>148.19999999999999</v>
      </c>
      <c r="C18" s="4">
        <v>148.19999999999999</v>
      </c>
      <c r="D18" s="4">
        <v>119.3</v>
      </c>
      <c r="E18" s="4">
        <v>145.80000000000001</v>
      </c>
      <c r="F18" s="4">
        <v>131.1</v>
      </c>
      <c r="G18" s="4">
        <v>193.7</v>
      </c>
      <c r="H18" s="4">
        <v>169.4</v>
      </c>
    </row>
    <row r="19" spans="1:8">
      <c r="A19" s="6">
        <v>1995</v>
      </c>
      <c r="B19" s="4">
        <v>152.4</v>
      </c>
      <c r="C19" s="4">
        <v>151.4</v>
      </c>
      <c r="D19" s="4">
        <v>119.2</v>
      </c>
      <c r="E19" s="4">
        <v>148.4</v>
      </c>
      <c r="F19" s="4">
        <v>133.5</v>
      </c>
      <c r="G19" s="4">
        <v>204.1</v>
      </c>
      <c r="H19" s="4">
        <v>175.1</v>
      </c>
    </row>
    <row r="20" spans="1:8">
      <c r="A20" s="6">
        <v>1996</v>
      </c>
      <c r="B20" s="4">
        <v>156.9</v>
      </c>
      <c r="C20" s="4">
        <v>153.80000000000001</v>
      </c>
      <c r="D20" s="4">
        <v>119.3</v>
      </c>
      <c r="E20" s="4">
        <v>151.4</v>
      </c>
      <c r="F20" s="4">
        <v>135.5</v>
      </c>
      <c r="G20" s="4">
        <v>212</v>
      </c>
      <c r="H20" s="4">
        <v>179.4</v>
      </c>
    </row>
    <row r="21" spans="1:8">
      <c r="A21" s="6">
        <v>1997</v>
      </c>
      <c r="B21" s="4">
        <v>160.5</v>
      </c>
      <c r="C21" s="4">
        <v>156.30000000000001</v>
      </c>
      <c r="D21" s="4">
        <v>121.5</v>
      </c>
      <c r="E21" s="4">
        <v>153.19999999999999</v>
      </c>
      <c r="F21" s="4">
        <v>137.80000000000001</v>
      </c>
      <c r="G21" s="4">
        <v>215.7</v>
      </c>
      <c r="H21" s="4">
        <v>185</v>
      </c>
    </row>
    <row r="22" spans="1:8">
      <c r="A22" s="6">
        <v>1998</v>
      </c>
      <c r="B22" s="4">
        <v>163</v>
      </c>
      <c r="C22" s="4">
        <v>157.80000000000001</v>
      </c>
      <c r="D22" s="4">
        <v>122.2</v>
      </c>
      <c r="E22" s="4">
        <v>154.19999999999999</v>
      </c>
      <c r="F22" s="4">
        <v>139.1</v>
      </c>
      <c r="G22" s="4">
        <v>222.5</v>
      </c>
      <c r="H22" s="4">
        <v>191.4</v>
      </c>
    </row>
    <row r="23" spans="1:8">
      <c r="A23" s="6">
        <v>1999</v>
      </c>
      <c r="B23" s="4">
        <v>166.6</v>
      </c>
      <c r="C23" s="4">
        <v>160.5</v>
      </c>
      <c r="D23" s="4">
        <v>121.8</v>
      </c>
      <c r="E23" s="4">
        <v>155</v>
      </c>
      <c r="F23" s="4">
        <v>140</v>
      </c>
      <c r="G23" s="4">
        <v>226.2</v>
      </c>
      <c r="H23" s="4">
        <v>194.3</v>
      </c>
    </row>
    <row r="24" spans="1:8">
      <c r="A24" s="6">
        <v>2000</v>
      </c>
      <c r="B24" s="4">
        <v>172.2</v>
      </c>
      <c r="C24" s="4">
        <v>164.9</v>
      </c>
      <c r="D24" s="4">
        <v>121</v>
      </c>
      <c r="E24" s="4">
        <v>157.6</v>
      </c>
      <c r="F24" s="4">
        <v>142</v>
      </c>
      <c r="G24" s="4">
        <v>231.9</v>
      </c>
      <c r="H24" s="4">
        <v>200.1</v>
      </c>
    </row>
    <row r="25" spans="1:8">
      <c r="A25" s="6">
        <v>2001</v>
      </c>
      <c r="B25" s="4">
        <v>177.1</v>
      </c>
      <c r="C25" s="4">
        <v>169.1</v>
      </c>
      <c r="D25" s="4">
        <v>120.1</v>
      </c>
      <c r="E25" s="4">
        <v>160.19999999999999</v>
      </c>
      <c r="F25" s="4">
        <v>144.80000000000001</v>
      </c>
      <c r="G25" s="4">
        <v>238.3</v>
      </c>
      <c r="H25" s="4">
        <v>203.6</v>
      </c>
    </row>
    <row r="26" spans="1:8">
      <c r="A26" s="6">
        <v>2002</v>
      </c>
      <c r="B26" s="4">
        <v>179.9</v>
      </c>
      <c r="C26" s="4">
        <v>172.9</v>
      </c>
      <c r="D26" s="4">
        <v>119</v>
      </c>
      <c r="E26" s="4">
        <v>163.30000000000001</v>
      </c>
      <c r="F26" s="4">
        <v>146.69999999999999</v>
      </c>
      <c r="G26" s="4">
        <v>244.3</v>
      </c>
      <c r="H26" s="4">
        <v>207</v>
      </c>
    </row>
    <row r="27" spans="1:8">
      <c r="A27" s="6">
        <v>2003</v>
      </c>
      <c r="B27" s="4">
        <v>184</v>
      </c>
      <c r="C27" s="4">
        <v>177.7</v>
      </c>
      <c r="D27" s="4">
        <v>118.7</v>
      </c>
      <c r="E27" s="4">
        <v>166.7</v>
      </c>
      <c r="F27" s="4">
        <v>148.30000000000001</v>
      </c>
      <c r="G27" s="4">
        <v>250.8</v>
      </c>
      <c r="H27" s="4">
        <v>213</v>
      </c>
    </row>
    <row r="28" spans="1:8">
      <c r="A28" s="6">
        <v>2004</v>
      </c>
      <c r="B28" s="4">
        <v>188.9</v>
      </c>
      <c r="C28" s="4">
        <v>181</v>
      </c>
      <c r="D28" s="4">
        <v>118.7</v>
      </c>
      <c r="E28" s="4">
        <v>170.3</v>
      </c>
      <c r="F28" s="4">
        <v>150.80000000000001</v>
      </c>
      <c r="G28" s="4">
        <v>256.3</v>
      </c>
      <c r="H28" s="4">
        <v>219.4</v>
      </c>
    </row>
    <row r="29" spans="1:8">
      <c r="A29" s="6">
        <v>2005</v>
      </c>
      <c r="B29" s="4">
        <v>195.3</v>
      </c>
      <c r="C29" s="4">
        <v>184.9</v>
      </c>
      <c r="D29" s="4">
        <v>118.3</v>
      </c>
      <c r="E29" s="4">
        <v>173.2</v>
      </c>
      <c r="F29" s="4">
        <v>153.69999999999999</v>
      </c>
      <c r="G29" s="4">
        <v>261.3</v>
      </c>
      <c r="H29" s="4">
        <v>225.6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8CF8-34D8-4CE6-9D0B-E820B60BDDB9}">
  <dimension ref="A1:B11"/>
  <sheetViews>
    <sheetView workbookViewId="0">
      <selection sqref="A1:B11"/>
    </sheetView>
  </sheetViews>
  <sheetFormatPr defaultRowHeight="15"/>
  <sheetData>
    <row r="1" spans="1:2">
      <c r="A1" t="s">
        <v>92</v>
      </c>
      <c r="B1" t="s">
        <v>93</v>
      </c>
    </row>
    <row r="2" spans="1:2">
      <c r="A2">
        <v>86</v>
      </c>
      <c r="B2">
        <v>3</v>
      </c>
    </row>
    <row r="3" spans="1:2">
      <c r="A3">
        <v>79</v>
      </c>
      <c r="B3">
        <v>7</v>
      </c>
    </row>
    <row r="4" spans="1:2">
      <c r="A4">
        <v>76</v>
      </c>
      <c r="B4">
        <v>12</v>
      </c>
    </row>
    <row r="5" spans="1:2">
      <c r="A5">
        <v>69</v>
      </c>
      <c r="B5">
        <v>17</v>
      </c>
    </row>
    <row r="6" spans="1:2">
      <c r="A6">
        <v>65</v>
      </c>
      <c r="B6">
        <v>25</v>
      </c>
    </row>
    <row r="7" spans="1:2">
      <c r="A7">
        <v>62</v>
      </c>
      <c r="B7">
        <v>35</v>
      </c>
    </row>
    <row r="8" spans="1:2">
      <c r="A8">
        <v>52</v>
      </c>
      <c r="B8">
        <v>45</v>
      </c>
    </row>
    <row r="9" spans="1:2">
      <c r="A9">
        <v>51</v>
      </c>
      <c r="B9">
        <v>55</v>
      </c>
    </row>
    <row r="10" spans="1:2">
      <c r="A10">
        <v>51</v>
      </c>
      <c r="B10">
        <v>70</v>
      </c>
    </row>
    <row r="11" spans="1:2">
      <c r="A11">
        <v>48</v>
      </c>
      <c r="B11">
        <v>120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87A90-1FDC-4E82-8918-9C539D904FF7}">
  <dimension ref="A1:C24"/>
  <sheetViews>
    <sheetView topLeftCell="A7" workbookViewId="0">
      <selection activeCell="A4" sqref="A4"/>
    </sheetView>
  </sheetViews>
  <sheetFormatPr defaultRowHeight="15"/>
  <sheetData>
    <row r="1" spans="1:3">
      <c r="A1" t="s">
        <v>419</v>
      </c>
    </row>
    <row r="3" spans="1:3">
      <c r="A3" t="s">
        <v>222</v>
      </c>
      <c r="B3" t="s">
        <v>420</v>
      </c>
      <c r="C3" t="s">
        <v>421</v>
      </c>
    </row>
    <row r="4" spans="1:3">
      <c r="A4" t="s">
        <v>151</v>
      </c>
      <c r="B4">
        <v>0.25</v>
      </c>
      <c r="C4">
        <v>0.27</v>
      </c>
    </row>
    <row r="5" spans="1:3">
      <c r="A5" t="s">
        <v>422</v>
      </c>
      <c r="B5">
        <v>0.28499999999999998</v>
      </c>
      <c r="C5">
        <v>0.28199999999999997</v>
      </c>
    </row>
    <row r="6" spans="1:3">
      <c r="A6" t="s">
        <v>152</v>
      </c>
      <c r="B6">
        <v>0.23499999999999999</v>
      </c>
      <c r="C6">
        <v>0.224</v>
      </c>
    </row>
    <row r="7" spans="1:3">
      <c r="A7" t="s">
        <v>65</v>
      </c>
      <c r="B7">
        <v>0.219</v>
      </c>
      <c r="C7">
        <v>0.23100000000000001</v>
      </c>
    </row>
    <row r="8" spans="1:3">
      <c r="A8" t="s">
        <v>240</v>
      </c>
      <c r="B8">
        <v>0.20200000000000001</v>
      </c>
      <c r="C8">
        <v>0.224</v>
      </c>
    </row>
    <row r="9" spans="1:3">
      <c r="A9" t="s">
        <v>423</v>
      </c>
      <c r="B9">
        <v>0.28799999999999998</v>
      </c>
      <c r="C9">
        <v>0.30499999999999999</v>
      </c>
    </row>
    <row r="10" spans="1:3">
      <c r="A10" t="s">
        <v>67</v>
      </c>
      <c r="B10">
        <v>0.254</v>
      </c>
      <c r="C10">
        <v>0.26</v>
      </c>
    </row>
    <row r="11" spans="1:3">
      <c r="A11" t="s">
        <v>68</v>
      </c>
      <c r="B11">
        <v>0.27100000000000002</v>
      </c>
      <c r="C11">
        <v>0.26400000000000001</v>
      </c>
    </row>
    <row r="12" spans="1:3">
      <c r="A12" t="s">
        <v>160</v>
      </c>
      <c r="B12">
        <v>0.219</v>
      </c>
      <c r="C12">
        <v>0.248</v>
      </c>
    </row>
    <row r="13" spans="1:3">
      <c r="A13" t="s">
        <v>424</v>
      </c>
      <c r="B13">
        <v>0.19</v>
      </c>
      <c r="C13">
        <v>0.218</v>
      </c>
    </row>
    <row r="14" spans="1:3">
      <c r="A14" t="s">
        <v>69</v>
      </c>
      <c r="B14">
        <v>0.23499999999999999</v>
      </c>
      <c r="C14">
        <v>0.224</v>
      </c>
    </row>
    <row r="15" spans="1:3">
      <c r="A15" t="s">
        <v>66</v>
      </c>
      <c r="B15">
        <v>0.372</v>
      </c>
      <c r="C15">
        <v>0.36799999999999999</v>
      </c>
    </row>
    <row r="16" spans="1:3">
      <c r="A16" t="s">
        <v>425</v>
      </c>
      <c r="B16">
        <v>0.313</v>
      </c>
      <c r="C16">
        <v>0.27700000000000002</v>
      </c>
    </row>
    <row r="17" spans="1:3">
      <c r="A17" t="s">
        <v>166</v>
      </c>
      <c r="B17">
        <v>0.27300000000000002</v>
      </c>
      <c r="C17">
        <v>0.26600000000000001</v>
      </c>
    </row>
    <row r="18" spans="1:3">
      <c r="A18" t="s">
        <v>257</v>
      </c>
      <c r="B18">
        <v>0.23200000000000001</v>
      </c>
      <c r="C18">
        <v>0.249</v>
      </c>
    </row>
    <row r="19" spans="1:3">
      <c r="A19" t="s">
        <v>259</v>
      </c>
      <c r="B19">
        <v>0.27800000000000002</v>
      </c>
      <c r="C19">
        <v>0.29899999999999999</v>
      </c>
    </row>
    <row r="20" spans="1:3">
      <c r="A20" t="s">
        <v>172</v>
      </c>
      <c r="B20">
        <v>0.23499999999999999</v>
      </c>
      <c r="C20">
        <v>0.24099999999999999</v>
      </c>
    </row>
    <row r="21" spans="1:3">
      <c r="A21" t="s">
        <v>173</v>
      </c>
      <c r="B21">
        <v>0.24099999999999999</v>
      </c>
      <c r="C21">
        <v>0.24199999999999999</v>
      </c>
    </row>
    <row r="22" spans="1:3">
      <c r="A22" t="s">
        <v>174</v>
      </c>
      <c r="B22">
        <v>0.29699999999999999</v>
      </c>
      <c r="C22">
        <v>0.29699999999999999</v>
      </c>
    </row>
    <row r="23" spans="1:3">
      <c r="A23" t="s">
        <v>426</v>
      </c>
      <c r="B23">
        <v>0.184</v>
      </c>
      <c r="C23">
        <v>0.192</v>
      </c>
    </row>
    <row r="24" spans="1:3">
      <c r="A24" t="s">
        <v>427</v>
      </c>
      <c r="B24">
        <v>0.186</v>
      </c>
      <c r="C24">
        <v>0.186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1570-44C7-4D0A-947E-CF7CE506375D}">
  <dimension ref="A1:K1522"/>
  <sheetViews>
    <sheetView workbookViewId="0">
      <selection sqref="A1:K1522"/>
    </sheetView>
  </sheetViews>
  <sheetFormatPr defaultRowHeight="15"/>
  <sheetData>
    <row r="1" spans="1:11">
      <c r="A1" t="s">
        <v>428</v>
      </c>
    </row>
    <row r="3" spans="1:11">
      <c r="A3" t="s">
        <v>429</v>
      </c>
      <c r="B3" t="s">
        <v>430</v>
      </c>
      <c r="C3" t="s">
        <v>431</v>
      </c>
      <c r="D3" t="s">
        <v>432</v>
      </c>
      <c r="E3" t="s">
        <v>433</v>
      </c>
      <c r="F3" t="s">
        <v>434</v>
      </c>
      <c r="G3" t="s">
        <v>435</v>
      </c>
      <c r="H3" t="s">
        <v>436</v>
      </c>
      <c r="I3" t="s">
        <v>437</v>
      </c>
      <c r="J3" t="s">
        <v>438</v>
      </c>
      <c r="K3" t="s">
        <v>439</v>
      </c>
    </row>
    <row r="4" spans="1:11">
      <c r="A4">
        <v>0.42720000000000002</v>
      </c>
      <c r="B4">
        <v>0.13420000000000001</v>
      </c>
      <c r="C4">
        <v>0</v>
      </c>
      <c r="D4">
        <v>1.06E-2</v>
      </c>
      <c r="E4">
        <v>0.14580000000000001</v>
      </c>
      <c r="F4">
        <v>0.28220000000000001</v>
      </c>
      <c r="G4">
        <v>50</v>
      </c>
      <c r="H4">
        <v>130</v>
      </c>
      <c r="I4">
        <v>25</v>
      </c>
      <c r="J4">
        <v>2</v>
      </c>
      <c r="K4">
        <v>21.36</v>
      </c>
    </row>
    <row r="5" spans="1:11">
      <c r="A5">
        <v>0.37390000000000001</v>
      </c>
      <c r="B5">
        <v>0.1686</v>
      </c>
      <c r="C5">
        <v>9.1000000000000004E-3</v>
      </c>
      <c r="D5">
        <v>8.2500000000000004E-2</v>
      </c>
      <c r="E5">
        <v>0.1215</v>
      </c>
      <c r="F5">
        <v>0.24440000000000001</v>
      </c>
      <c r="G5">
        <v>90</v>
      </c>
      <c r="H5">
        <v>150</v>
      </c>
      <c r="I5">
        <v>39</v>
      </c>
      <c r="J5">
        <v>2</v>
      </c>
      <c r="K5">
        <v>33.651000000000003</v>
      </c>
    </row>
    <row r="6" spans="1:11">
      <c r="A6">
        <v>0.19409999999999999</v>
      </c>
      <c r="B6">
        <v>0.40560000000000002</v>
      </c>
      <c r="C6">
        <v>1.1999999999999999E-3</v>
      </c>
      <c r="D6">
        <v>5.1299999999999998E-2</v>
      </c>
      <c r="E6">
        <v>0.20630000000000001</v>
      </c>
      <c r="F6">
        <v>0.14149999999999999</v>
      </c>
      <c r="G6">
        <v>180</v>
      </c>
      <c r="H6">
        <v>230</v>
      </c>
      <c r="I6">
        <v>47</v>
      </c>
      <c r="J6">
        <v>2</v>
      </c>
      <c r="K6">
        <v>34.938000000000002</v>
      </c>
    </row>
    <row r="7" spans="1:11">
      <c r="A7">
        <v>0.44379999999999997</v>
      </c>
      <c r="B7">
        <v>0.1258</v>
      </c>
      <c r="C7">
        <v>5.3900000000000003E-2</v>
      </c>
      <c r="D7">
        <v>3.9699999999999999E-2</v>
      </c>
      <c r="E7">
        <v>6.5199999999999994E-2</v>
      </c>
      <c r="F7">
        <v>0.27160000000000001</v>
      </c>
      <c r="G7">
        <v>80</v>
      </c>
      <c r="H7">
        <v>100</v>
      </c>
      <c r="I7">
        <v>33</v>
      </c>
      <c r="J7">
        <v>2</v>
      </c>
      <c r="K7">
        <v>35.503999999999998</v>
      </c>
    </row>
    <row r="8" spans="1:11">
      <c r="A8">
        <v>0.33310000000000001</v>
      </c>
      <c r="B8">
        <v>8.2400000000000001E-2</v>
      </c>
      <c r="C8">
        <v>3.9899999999999998E-2</v>
      </c>
      <c r="D8">
        <v>0.15709999999999999</v>
      </c>
      <c r="E8">
        <v>0.24030000000000001</v>
      </c>
      <c r="F8">
        <v>0.14729999999999999</v>
      </c>
      <c r="G8">
        <v>90</v>
      </c>
      <c r="H8">
        <v>100</v>
      </c>
      <c r="I8">
        <v>31</v>
      </c>
      <c r="J8">
        <v>1</v>
      </c>
      <c r="K8">
        <v>29.978999999999999</v>
      </c>
    </row>
    <row r="9" spans="1:11">
      <c r="A9">
        <v>0.37519999999999998</v>
      </c>
      <c r="B9">
        <v>4.8099999999999997E-2</v>
      </c>
      <c r="C9">
        <v>0.11700000000000001</v>
      </c>
      <c r="D9">
        <v>2.1000000000000001E-2</v>
      </c>
      <c r="E9">
        <v>9.5500000000000002E-2</v>
      </c>
      <c r="F9">
        <v>0.34310000000000002</v>
      </c>
      <c r="G9">
        <v>70</v>
      </c>
      <c r="H9">
        <v>70</v>
      </c>
      <c r="I9">
        <v>24</v>
      </c>
      <c r="J9">
        <v>1</v>
      </c>
      <c r="K9">
        <v>26.263999999999999</v>
      </c>
    </row>
    <row r="10" spans="1:11">
      <c r="A10">
        <v>0.25679999999999997</v>
      </c>
      <c r="B10">
        <v>9.0899999999999995E-2</v>
      </c>
      <c r="C10">
        <v>4.53E-2</v>
      </c>
      <c r="D10">
        <v>1.5299999999999999E-2</v>
      </c>
      <c r="E10">
        <v>2.2700000000000001E-2</v>
      </c>
      <c r="F10">
        <v>0.56889999999999996</v>
      </c>
      <c r="G10">
        <v>140</v>
      </c>
      <c r="H10">
        <v>190</v>
      </c>
      <c r="I10">
        <v>46</v>
      </c>
      <c r="J10">
        <v>1</v>
      </c>
      <c r="K10">
        <v>35.951999999999998</v>
      </c>
    </row>
    <row r="11" spans="1:11">
      <c r="A11">
        <v>0.45329999999999998</v>
      </c>
      <c r="B11">
        <v>0.21049999999999999</v>
      </c>
      <c r="C11">
        <v>0.11310000000000001</v>
      </c>
      <c r="D11">
        <v>1.61E-2</v>
      </c>
      <c r="E11">
        <v>0</v>
      </c>
      <c r="F11">
        <v>0.20699999999999999</v>
      </c>
      <c r="G11">
        <v>50</v>
      </c>
      <c r="H11">
        <v>100</v>
      </c>
      <c r="I11">
        <v>25</v>
      </c>
      <c r="J11">
        <v>1</v>
      </c>
      <c r="K11">
        <v>22.664999999999999</v>
      </c>
    </row>
    <row r="12" spans="1:11">
      <c r="A12">
        <v>0.32790000000000002</v>
      </c>
      <c r="B12">
        <v>0.1053</v>
      </c>
      <c r="C12">
        <v>0.1671</v>
      </c>
      <c r="D12">
        <v>2.93E-2</v>
      </c>
      <c r="E12">
        <v>4.3299999999999998E-2</v>
      </c>
      <c r="F12">
        <v>0.32719999999999999</v>
      </c>
      <c r="G12">
        <v>100</v>
      </c>
      <c r="H12">
        <v>260</v>
      </c>
      <c r="I12">
        <v>30</v>
      </c>
      <c r="J12">
        <v>1</v>
      </c>
      <c r="K12">
        <v>32.79</v>
      </c>
    </row>
    <row r="13" spans="1:11">
      <c r="A13">
        <v>0.46079999999999999</v>
      </c>
      <c r="B13">
        <v>6.1199999999999997E-2</v>
      </c>
      <c r="C13">
        <v>2.3E-2</v>
      </c>
      <c r="D13">
        <v>3.3799999999999997E-2</v>
      </c>
      <c r="E13">
        <v>0.19009999999999999</v>
      </c>
      <c r="F13">
        <v>0.23100000000000001</v>
      </c>
      <c r="G13">
        <v>90</v>
      </c>
      <c r="H13">
        <v>110</v>
      </c>
      <c r="I13">
        <v>41</v>
      </c>
      <c r="J13">
        <v>1</v>
      </c>
      <c r="K13">
        <v>41.472000000000001</v>
      </c>
    </row>
    <row r="14" spans="1:11">
      <c r="A14">
        <v>0.34470000000000001</v>
      </c>
      <c r="B14">
        <v>3.9199999999999999E-2</v>
      </c>
      <c r="C14">
        <v>0.25469999999999998</v>
      </c>
      <c r="D14">
        <v>0</v>
      </c>
      <c r="E14">
        <v>6.7199999999999996E-2</v>
      </c>
      <c r="F14">
        <v>0.29420000000000002</v>
      </c>
      <c r="G14">
        <v>100</v>
      </c>
      <c r="H14">
        <v>100</v>
      </c>
      <c r="I14">
        <v>48</v>
      </c>
      <c r="J14">
        <v>2</v>
      </c>
      <c r="K14">
        <v>34.47</v>
      </c>
    </row>
    <row r="15" spans="1:11">
      <c r="A15">
        <v>0.4491</v>
      </c>
      <c r="B15">
        <v>5.4100000000000002E-2</v>
      </c>
      <c r="C15">
        <v>0.16170000000000001</v>
      </c>
      <c r="D15">
        <v>0.1133</v>
      </c>
      <c r="E15">
        <v>3.9699999999999999E-2</v>
      </c>
      <c r="F15">
        <v>0.18210000000000001</v>
      </c>
      <c r="G15">
        <v>100</v>
      </c>
      <c r="H15">
        <v>100</v>
      </c>
      <c r="I15">
        <v>24</v>
      </c>
      <c r="J15">
        <v>1</v>
      </c>
      <c r="K15">
        <v>44.91</v>
      </c>
    </row>
    <row r="16" spans="1:11">
      <c r="A16">
        <v>0.44390000000000002</v>
      </c>
      <c r="B16">
        <v>0.1023</v>
      </c>
      <c r="C16">
        <v>1.8E-3</v>
      </c>
      <c r="D16">
        <v>5.7000000000000002E-2</v>
      </c>
      <c r="E16">
        <v>0.11899999999999999</v>
      </c>
      <c r="F16">
        <v>0.27589999999999998</v>
      </c>
      <c r="G16">
        <v>80</v>
      </c>
      <c r="H16">
        <v>100</v>
      </c>
      <c r="I16">
        <v>28</v>
      </c>
      <c r="J16">
        <v>2</v>
      </c>
      <c r="K16">
        <v>35.512</v>
      </c>
    </row>
    <row r="17" spans="1:11">
      <c r="A17">
        <v>0.20899999999999999</v>
      </c>
      <c r="B17">
        <v>0.21560000000000001</v>
      </c>
      <c r="C17">
        <v>7.2800000000000004E-2</v>
      </c>
      <c r="D17">
        <v>0</v>
      </c>
      <c r="E17">
        <v>0.28239999999999998</v>
      </c>
      <c r="F17">
        <v>0.22020000000000001</v>
      </c>
      <c r="G17">
        <v>40</v>
      </c>
      <c r="H17">
        <v>120</v>
      </c>
      <c r="I17">
        <v>31</v>
      </c>
      <c r="J17">
        <v>2</v>
      </c>
      <c r="K17">
        <v>8.36</v>
      </c>
    </row>
    <row r="18" spans="1:11">
      <c r="A18">
        <v>0.27060000000000001</v>
      </c>
      <c r="B18">
        <v>4.41E-2</v>
      </c>
      <c r="C18">
        <v>0.20100000000000001</v>
      </c>
      <c r="D18">
        <v>9.8599999999999993E-2</v>
      </c>
      <c r="E18">
        <v>0.1037</v>
      </c>
      <c r="F18">
        <v>0.28210000000000002</v>
      </c>
      <c r="G18">
        <v>70</v>
      </c>
      <c r="H18">
        <v>70</v>
      </c>
      <c r="I18">
        <v>32</v>
      </c>
      <c r="J18">
        <v>1</v>
      </c>
      <c r="K18">
        <v>18.942</v>
      </c>
    </row>
    <row r="19" spans="1:11">
      <c r="A19">
        <v>0.55359999999999998</v>
      </c>
      <c r="B19">
        <v>0.1011</v>
      </c>
      <c r="C19">
        <v>5.0099999999999999E-2</v>
      </c>
      <c r="D19">
        <v>1.1000000000000001E-3</v>
      </c>
      <c r="E19">
        <v>0.1981</v>
      </c>
      <c r="F19">
        <v>9.6100000000000005E-2</v>
      </c>
      <c r="G19">
        <v>70</v>
      </c>
      <c r="H19">
        <v>130</v>
      </c>
      <c r="I19">
        <v>47</v>
      </c>
      <c r="J19">
        <v>2</v>
      </c>
      <c r="K19">
        <v>38.752000000000002</v>
      </c>
    </row>
    <row r="20" spans="1:11">
      <c r="A20">
        <v>0.51949999999999996</v>
      </c>
      <c r="B20">
        <v>8.1000000000000003E-2</v>
      </c>
      <c r="C20">
        <v>7.22E-2</v>
      </c>
      <c r="D20">
        <v>0.13539999999999999</v>
      </c>
      <c r="E20">
        <v>7.9899999999999999E-2</v>
      </c>
      <c r="F20">
        <v>0.1119</v>
      </c>
      <c r="G20">
        <v>50</v>
      </c>
      <c r="H20">
        <v>90</v>
      </c>
      <c r="I20">
        <v>32</v>
      </c>
      <c r="J20">
        <v>2</v>
      </c>
      <c r="K20">
        <v>25.975000000000001</v>
      </c>
    </row>
    <row r="21" spans="1:11">
      <c r="A21">
        <v>0.23960000000000001</v>
      </c>
      <c r="B21">
        <v>3.8300000000000001E-2</v>
      </c>
      <c r="C21">
        <v>7.2700000000000001E-2</v>
      </c>
      <c r="D21">
        <v>0.1182</v>
      </c>
      <c r="E21">
        <v>0.18890000000000001</v>
      </c>
      <c r="F21">
        <v>0.34229999999999999</v>
      </c>
      <c r="G21">
        <v>150</v>
      </c>
      <c r="H21">
        <v>140</v>
      </c>
      <c r="I21">
        <v>38</v>
      </c>
      <c r="J21">
        <v>2</v>
      </c>
      <c r="K21">
        <v>35.94</v>
      </c>
    </row>
    <row r="22" spans="1:11">
      <c r="A22">
        <v>0.28460000000000002</v>
      </c>
      <c r="B22">
        <v>4.0500000000000001E-2</v>
      </c>
      <c r="C22">
        <v>0.15110000000000001</v>
      </c>
      <c r="D22">
        <v>0</v>
      </c>
      <c r="E22">
        <v>0.1235</v>
      </c>
      <c r="F22">
        <v>0.40029999999999999</v>
      </c>
      <c r="G22">
        <v>120</v>
      </c>
      <c r="H22">
        <v>140</v>
      </c>
      <c r="I22">
        <v>45</v>
      </c>
      <c r="J22">
        <v>1</v>
      </c>
      <c r="K22">
        <v>34.152000000000001</v>
      </c>
    </row>
    <row r="23" spans="1:11">
      <c r="A23">
        <v>0.34720000000000001</v>
      </c>
      <c r="B23">
        <v>6.8400000000000002E-2</v>
      </c>
      <c r="C23">
        <v>4.5400000000000003E-2</v>
      </c>
      <c r="D23">
        <v>2.4799999999999999E-2</v>
      </c>
      <c r="E23">
        <v>0.2555</v>
      </c>
      <c r="F23">
        <v>0.25869999999999999</v>
      </c>
      <c r="G23">
        <v>50</v>
      </c>
      <c r="H23">
        <v>130</v>
      </c>
      <c r="I23">
        <v>28</v>
      </c>
      <c r="J23">
        <v>1</v>
      </c>
      <c r="K23">
        <v>17.36</v>
      </c>
    </row>
    <row r="24" spans="1:11">
      <c r="A24">
        <v>0.47149999999999997</v>
      </c>
      <c r="B24">
        <v>4.7800000000000002E-2</v>
      </c>
      <c r="C24">
        <v>9.3100000000000002E-2</v>
      </c>
      <c r="D24">
        <v>9.9099999999999994E-2</v>
      </c>
      <c r="E24">
        <v>6.08E-2</v>
      </c>
      <c r="F24">
        <v>0.2276</v>
      </c>
      <c r="G24">
        <v>80</v>
      </c>
      <c r="H24">
        <v>90</v>
      </c>
      <c r="I24">
        <v>29</v>
      </c>
      <c r="J24">
        <v>1</v>
      </c>
      <c r="K24">
        <v>37.72</v>
      </c>
    </row>
    <row r="25" spans="1:11">
      <c r="A25">
        <v>0.32840000000000003</v>
      </c>
      <c r="B25">
        <v>8.4199999999999997E-2</v>
      </c>
      <c r="C25">
        <v>2.46E-2</v>
      </c>
      <c r="D25">
        <v>5.4800000000000001E-2</v>
      </c>
      <c r="E25">
        <v>0.28100000000000003</v>
      </c>
      <c r="F25">
        <v>0.22700000000000001</v>
      </c>
      <c r="G25">
        <v>70</v>
      </c>
      <c r="H25">
        <v>100</v>
      </c>
      <c r="I25">
        <v>34</v>
      </c>
      <c r="J25">
        <v>1</v>
      </c>
      <c r="K25">
        <v>22.988</v>
      </c>
    </row>
    <row r="26" spans="1:11">
      <c r="A26">
        <v>0.45739999999999997</v>
      </c>
      <c r="B26">
        <v>0.1023</v>
      </c>
      <c r="C26">
        <v>5.0599999999999999E-2</v>
      </c>
      <c r="D26">
        <v>7.5300000000000006E-2</v>
      </c>
      <c r="E26">
        <v>0.1062</v>
      </c>
      <c r="F26">
        <v>0.2082</v>
      </c>
      <c r="G26">
        <v>140</v>
      </c>
      <c r="H26">
        <v>260</v>
      </c>
      <c r="I26">
        <v>43</v>
      </c>
      <c r="J26">
        <v>2</v>
      </c>
      <c r="K26">
        <v>64.036000000000001</v>
      </c>
    </row>
    <row r="27" spans="1:11">
      <c r="A27">
        <v>0.31019999999999998</v>
      </c>
      <c r="B27">
        <v>7.4800000000000005E-2</v>
      </c>
      <c r="C27">
        <v>0.14510000000000001</v>
      </c>
      <c r="D27">
        <v>4.9399999999999999E-2</v>
      </c>
      <c r="E27">
        <v>0.13189999999999999</v>
      </c>
      <c r="F27">
        <v>0.28860000000000002</v>
      </c>
      <c r="G27">
        <v>100</v>
      </c>
      <c r="H27">
        <v>250</v>
      </c>
      <c r="I27">
        <v>33</v>
      </c>
      <c r="J27">
        <v>1</v>
      </c>
      <c r="K27">
        <v>31.02</v>
      </c>
    </row>
    <row r="28" spans="1:11">
      <c r="A28">
        <v>0.34289999999999998</v>
      </c>
      <c r="B28">
        <v>0.11210000000000001</v>
      </c>
      <c r="C28">
        <v>5.4000000000000003E-3</v>
      </c>
      <c r="D28">
        <v>0.1143</v>
      </c>
      <c r="E28">
        <v>0.1074</v>
      </c>
      <c r="F28">
        <v>0.31790000000000002</v>
      </c>
      <c r="G28">
        <v>60</v>
      </c>
      <c r="H28">
        <v>150</v>
      </c>
      <c r="I28">
        <v>47</v>
      </c>
      <c r="J28">
        <v>2</v>
      </c>
      <c r="K28">
        <v>20.574000000000002</v>
      </c>
    </row>
    <row r="29" spans="1:11">
      <c r="A29">
        <v>0.18509999999999999</v>
      </c>
      <c r="B29">
        <v>0.2185</v>
      </c>
      <c r="C29">
        <v>1.7999999999999999E-2</v>
      </c>
      <c r="D29">
        <v>8.6999999999999994E-3</v>
      </c>
      <c r="E29">
        <v>0.14960000000000001</v>
      </c>
      <c r="F29">
        <v>0.42</v>
      </c>
      <c r="G29">
        <v>80</v>
      </c>
      <c r="H29">
        <v>200</v>
      </c>
      <c r="I29">
        <v>53</v>
      </c>
      <c r="J29">
        <v>2</v>
      </c>
      <c r="K29">
        <v>14.808</v>
      </c>
    </row>
    <row r="30" spans="1:11">
      <c r="A30">
        <v>0.40789999999999998</v>
      </c>
      <c r="B30">
        <v>0.1361</v>
      </c>
      <c r="C30">
        <v>0.23880000000000001</v>
      </c>
      <c r="D30">
        <v>4.1000000000000002E-2</v>
      </c>
      <c r="E30">
        <v>2.24E-2</v>
      </c>
      <c r="F30">
        <v>0.15390000000000001</v>
      </c>
      <c r="G30">
        <v>50</v>
      </c>
      <c r="H30">
        <v>130</v>
      </c>
      <c r="I30">
        <v>29</v>
      </c>
      <c r="J30">
        <v>2</v>
      </c>
      <c r="K30">
        <v>20.395</v>
      </c>
    </row>
    <row r="31" spans="1:11">
      <c r="A31">
        <v>0.59109999999999996</v>
      </c>
      <c r="B31">
        <v>0.21890000000000001</v>
      </c>
      <c r="C31">
        <v>3.9199999999999999E-2</v>
      </c>
      <c r="D31">
        <v>8.9999999999999993E-3</v>
      </c>
      <c r="E31">
        <v>6.7999999999999996E-3</v>
      </c>
      <c r="F31">
        <v>0.1351</v>
      </c>
      <c r="G31">
        <v>70</v>
      </c>
      <c r="H31">
        <v>170</v>
      </c>
      <c r="I31">
        <v>40</v>
      </c>
      <c r="J31">
        <v>2</v>
      </c>
      <c r="K31">
        <v>41.377000000000002</v>
      </c>
    </row>
    <row r="32" spans="1:11">
      <c r="A32">
        <v>0.41520000000000001</v>
      </c>
      <c r="B32">
        <v>9.5000000000000001E-2</v>
      </c>
      <c r="C32">
        <v>7.8799999999999995E-2</v>
      </c>
      <c r="D32">
        <v>2.3699999999999999E-2</v>
      </c>
      <c r="E32">
        <v>0.1268</v>
      </c>
      <c r="F32">
        <v>0.26040000000000002</v>
      </c>
      <c r="G32">
        <v>60</v>
      </c>
      <c r="H32">
        <v>120</v>
      </c>
      <c r="I32">
        <v>33</v>
      </c>
      <c r="J32">
        <v>2</v>
      </c>
      <c r="K32">
        <v>24.911999999999999</v>
      </c>
    </row>
    <row r="33" spans="1:11">
      <c r="A33">
        <v>0.34589999999999999</v>
      </c>
      <c r="B33">
        <v>7.3899999999999993E-2</v>
      </c>
      <c r="C33">
        <v>0.38750000000000001</v>
      </c>
      <c r="D33">
        <v>2.8999999999999998E-3</v>
      </c>
      <c r="E33">
        <v>8.8599999999999998E-2</v>
      </c>
      <c r="F33">
        <v>0.1011</v>
      </c>
      <c r="G33">
        <v>90</v>
      </c>
      <c r="H33">
        <v>110</v>
      </c>
      <c r="I33">
        <v>57</v>
      </c>
      <c r="J33">
        <v>1</v>
      </c>
      <c r="K33">
        <v>31.131</v>
      </c>
    </row>
    <row r="34" spans="1:11">
      <c r="A34">
        <v>0.48849999999999999</v>
      </c>
      <c r="B34">
        <v>9.7299999999999998E-2</v>
      </c>
      <c r="C34">
        <v>7.7000000000000002E-3</v>
      </c>
      <c r="D34">
        <v>3.09E-2</v>
      </c>
      <c r="E34">
        <v>9.11E-2</v>
      </c>
      <c r="F34">
        <v>0.28449999999999998</v>
      </c>
      <c r="G34">
        <v>100</v>
      </c>
      <c r="H34">
        <v>130</v>
      </c>
      <c r="I34">
        <v>43</v>
      </c>
      <c r="J34">
        <v>2</v>
      </c>
      <c r="K34">
        <v>48.85</v>
      </c>
    </row>
    <row r="35" spans="1:11">
      <c r="A35">
        <v>0.44779999999999998</v>
      </c>
      <c r="B35">
        <v>0.16789999999999999</v>
      </c>
      <c r="C35">
        <v>8.5000000000000006E-3</v>
      </c>
      <c r="D35">
        <v>0.13139999999999999</v>
      </c>
      <c r="E35">
        <v>5.7000000000000002E-2</v>
      </c>
      <c r="F35">
        <v>0.18740000000000001</v>
      </c>
      <c r="G35">
        <v>50</v>
      </c>
      <c r="H35">
        <v>60</v>
      </c>
      <c r="I35">
        <v>32</v>
      </c>
      <c r="J35">
        <v>1</v>
      </c>
      <c r="K35">
        <v>22.39</v>
      </c>
    </row>
    <row r="36" spans="1:11">
      <c r="A36">
        <v>0.40939999999999999</v>
      </c>
      <c r="B36">
        <v>0.1293</v>
      </c>
      <c r="C36">
        <v>0.13100000000000001</v>
      </c>
      <c r="D36">
        <v>0</v>
      </c>
      <c r="E36">
        <v>4.2599999999999999E-2</v>
      </c>
      <c r="F36">
        <v>0.28770000000000001</v>
      </c>
      <c r="G36">
        <v>60</v>
      </c>
      <c r="H36">
        <v>100</v>
      </c>
      <c r="I36">
        <v>25</v>
      </c>
      <c r="J36">
        <v>2</v>
      </c>
      <c r="K36">
        <v>24.564</v>
      </c>
    </row>
    <row r="37" spans="1:11">
      <c r="A37">
        <v>0.49340000000000001</v>
      </c>
      <c r="B37">
        <v>8.8800000000000004E-2</v>
      </c>
      <c r="C37">
        <v>0.14280000000000001</v>
      </c>
      <c r="D37">
        <v>3.5400000000000001E-2</v>
      </c>
      <c r="E37">
        <v>0</v>
      </c>
      <c r="F37">
        <v>0.2397</v>
      </c>
      <c r="G37">
        <v>90</v>
      </c>
      <c r="H37">
        <v>150</v>
      </c>
      <c r="I37">
        <v>29</v>
      </c>
      <c r="J37">
        <v>2</v>
      </c>
      <c r="K37">
        <v>44.405999999999999</v>
      </c>
    </row>
    <row r="38" spans="1:11">
      <c r="A38">
        <v>0.29010000000000002</v>
      </c>
      <c r="B38">
        <v>4.9599999999999998E-2</v>
      </c>
      <c r="C38">
        <v>4.58E-2</v>
      </c>
      <c r="D38">
        <v>0.1176</v>
      </c>
      <c r="E38">
        <v>0.2903</v>
      </c>
      <c r="F38">
        <v>0.20660000000000001</v>
      </c>
      <c r="G38">
        <v>150</v>
      </c>
      <c r="H38">
        <v>140</v>
      </c>
      <c r="I38">
        <v>38</v>
      </c>
      <c r="J38">
        <v>2</v>
      </c>
      <c r="K38">
        <v>43.515000000000001</v>
      </c>
    </row>
    <row r="39" spans="1:11">
      <c r="A39">
        <v>0.26629999999999998</v>
      </c>
      <c r="B39">
        <v>8.1500000000000003E-2</v>
      </c>
      <c r="C39">
        <v>0.29430000000000001</v>
      </c>
      <c r="D39">
        <v>4.0500000000000001E-2</v>
      </c>
      <c r="E39">
        <v>9.8299999999999998E-2</v>
      </c>
      <c r="F39">
        <v>0.21909999999999999</v>
      </c>
      <c r="G39">
        <v>120</v>
      </c>
      <c r="H39">
        <v>200</v>
      </c>
      <c r="I39">
        <v>34</v>
      </c>
      <c r="J39">
        <v>2</v>
      </c>
      <c r="K39">
        <v>31.956</v>
      </c>
    </row>
    <row r="40" spans="1:11">
      <c r="A40">
        <v>0.38129999999999997</v>
      </c>
      <c r="B40">
        <v>0.10580000000000001</v>
      </c>
      <c r="C40">
        <v>6.6199999999999995E-2</v>
      </c>
      <c r="D40">
        <v>0.1055</v>
      </c>
      <c r="E40">
        <v>6.8099999999999994E-2</v>
      </c>
      <c r="F40">
        <v>0.27310000000000001</v>
      </c>
      <c r="G40">
        <v>160</v>
      </c>
      <c r="H40">
        <v>210</v>
      </c>
      <c r="I40">
        <v>36</v>
      </c>
      <c r="J40">
        <v>2</v>
      </c>
      <c r="K40">
        <v>61.008000000000003</v>
      </c>
    </row>
    <row r="41" spans="1:11">
      <c r="A41">
        <v>0.41070000000000001</v>
      </c>
      <c r="B41">
        <v>0.11269999999999999</v>
      </c>
      <c r="C41">
        <v>0.153</v>
      </c>
      <c r="D41">
        <v>5.1700000000000003E-2</v>
      </c>
      <c r="E41">
        <v>6.08E-2</v>
      </c>
      <c r="F41">
        <v>0.21110000000000001</v>
      </c>
      <c r="G41">
        <v>90</v>
      </c>
      <c r="H41">
        <v>140</v>
      </c>
      <c r="I41">
        <v>50</v>
      </c>
      <c r="J41">
        <v>1</v>
      </c>
      <c r="K41">
        <v>36.963000000000001</v>
      </c>
    </row>
    <row r="42" spans="1:11">
      <c r="A42">
        <v>0.434</v>
      </c>
      <c r="B42">
        <v>6.0999999999999999E-2</v>
      </c>
      <c r="C42">
        <v>0.2702</v>
      </c>
      <c r="D42">
        <v>0.05</v>
      </c>
      <c r="E42">
        <v>7.3899999999999993E-2</v>
      </c>
      <c r="F42">
        <v>0.1108</v>
      </c>
      <c r="G42">
        <v>80</v>
      </c>
      <c r="H42">
        <v>120</v>
      </c>
      <c r="I42">
        <v>28</v>
      </c>
      <c r="J42">
        <v>1</v>
      </c>
      <c r="K42">
        <v>34.72</v>
      </c>
    </row>
    <row r="43" spans="1:11">
      <c r="A43">
        <v>0.3216</v>
      </c>
      <c r="B43">
        <v>8.7300000000000003E-2</v>
      </c>
      <c r="C43">
        <v>0.18079999999999999</v>
      </c>
      <c r="D43">
        <v>8.1600000000000006E-2</v>
      </c>
      <c r="E43">
        <v>0.13450000000000001</v>
      </c>
      <c r="F43">
        <v>0.19420000000000001</v>
      </c>
      <c r="G43">
        <v>100</v>
      </c>
      <c r="H43">
        <v>170</v>
      </c>
      <c r="I43">
        <v>34</v>
      </c>
      <c r="J43">
        <v>2</v>
      </c>
      <c r="K43">
        <v>32.159999999999997</v>
      </c>
    </row>
    <row r="44" spans="1:11">
      <c r="A44">
        <v>0.38269999999999998</v>
      </c>
      <c r="B44">
        <v>7.3300000000000004E-2</v>
      </c>
      <c r="C44">
        <v>0.1046</v>
      </c>
      <c r="D44">
        <v>5.0000000000000001E-3</v>
      </c>
      <c r="E44">
        <v>0.13880000000000001</v>
      </c>
      <c r="F44">
        <v>0.29559999999999997</v>
      </c>
      <c r="G44">
        <v>70</v>
      </c>
      <c r="H44">
        <v>120</v>
      </c>
      <c r="I44">
        <v>23</v>
      </c>
      <c r="J44">
        <v>2</v>
      </c>
      <c r="K44">
        <v>26.789000000000001</v>
      </c>
    </row>
    <row r="45" spans="1:11">
      <c r="A45">
        <v>0.38669999999999999</v>
      </c>
      <c r="B45">
        <v>0.15620000000000001</v>
      </c>
      <c r="C45">
        <v>3.3E-3</v>
      </c>
      <c r="D45">
        <v>2.4400000000000002E-2</v>
      </c>
      <c r="E45">
        <v>0.25950000000000001</v>
      </c>
      <c r="F45">
        <v>0.17</v>
      </c>
      <c r="G45">
        <v>100</v>
      </c>
      <c r="H45">
        <v>100</v>
      </c>
      <c r="I45">
        <v>47</v>
      </c>
      <c r="J45">
        <v>2</v>
      </c>
      <c r="K45">
        <v>38.67</v>
      </c>
    </row>
    <row r="46" spans="1:11">
      <c r="A46">
        <v>0.39300000000000002</v>
      </c>
      <c r="B46">
        <v>9.7500000000000003E-2</v>
      </c>
      <c r="C46">
        <v>5.7999999999999996E-3</v>
      </c>
      <c r="D46">
        <v>0</v>
      </c>
      <c r="E46">
        <v>7.3700000000000002E-2</v>
      </c>
      <c r="F46">
        <v>0.43</v>
      </c>
      <c r="G46">
        <v>70</v>
      </c>
      <c r="H46">
        <v>210</v>
      </c>
      <c r="I46">
        <v>36</v>
      </c>
      <c r="J46">
        <v>2</v>
      </c>
      <c r="K46">
        <v>27.51</v>
      </c>
    </row>
    <row r="47" spans="1:11">
      <c r="A47">
        <v>0.35859999999999997</v>
      </c>
      <c r="B47">
        <v>0.1278</v>
      </c>
      <c r="C47">
        <v>4.19E-2</v>
      </c>
      <c r="D47">
        <v>7.4999999999999997E-2</v>
      </c>
      <c r="E47">
        <v>0.18509999999999999</v>
      </c>
      <c r="F47">
        <v>0.21160000000000001</v>
      </c>
      <c r="G47">
        <v>110</v>
      </c>
      <c r="H47">
        <v>150</v>
      </c>
      <c r="I47">
        <v>44</v>
      </c>
      <c r="J47">
        <v>1</v>
      </c>
      <c r="K47">
        <v>39.445999999999998</v>
      </c>
    </row>
    <row r="48" spans="1:11">
      <c r="A48">
        <v>0.28499999999999998</v>
      </c>
      <c r="B48">
        <v>0.10050000000000001</v>
      </c>
      <c r="C48">
        <v>6.6199999999999995E-2</v>
      </c>
      <c r="D48">
        <v>0</v>
      </c>
      <c r="E48">
        <v>3.1E-2</v>
      </c>
      <c r="F48">
        <v>0.51719999999999999</v>
      </c>
      <c r="G48">
        <v>60</v>
      </c>
      <c r="H48">
        <v>100</v>
      </c>
      <c r="I48">
        <v>20</v>
      </c>
      <c r="J48">
        <v>1</v>
      </c>
      <c r="K48">
        <v>17.100000000000001</v>
      </c>
    </row>
    <row r="49" spans="1:11">
      <c r="A49">
        <v>0.3926</v>
      </c>
      <c r="B49">
        <v>0.1081</v>
      </c>
      <c r="C49">
        <v>5.4199999999999998E-2</v>
      </c>
      <c r="D49">
        <v>0.1326</v>
      </c>
      <c r="E49">
        <v>0.1295</v>
      </c>
      <c r="F49">
        <v>0.183</v>
      </c>
      <c r="G49">
        <v>90</v>
      </c>
      <c r="H49">
        <v>140</v>
      </c>
      <c r="I49">
        <v>35</v>
      </c>
      <c r="J49">
        <v>2</v>
      </c>
      <c r="K49">
        <v>35.334000000000003</v>
      </c>
    </row>
    <row r="50" spans="1:11">
      <c r="A50">
        <v>0.35270000000000001</v>
      </c>
      <c r="B50">
        <v>0.24329999999999999</v>
      </c>
      <c r="C50">
        <v>0.1605</v>
      </c>
      <c r="D50">
        <v>5.2499999999999998E-2</v>
      </c>
      <c r="E50">
        <v>0</v>
      </c>
      <c r="F50">
        <v>0.191</v>
      </c>
      <c r="G50">
        <v>70</v>
      </c>
      <c r="H50">
        <v>70</v>
      </c>
      <c r="I50">
        <v>23</v>
      </c>
      <c r="J50">
        <v>1</v>
      </c>
      <c r="K50">
        <v>24.689</v>
      </c>
    </row>
    <row r="51" spans="1:11">
      <c r="A51">
        <v>0.34499999999999997</v>
      </c>
      <c r="B51">
        <v>0.1207</v>
      </c>
      <c r="C51">
        <v>0.1109</v>
      </c>
      <c r="D51">
        <v>9.3200000000000005E-2</v>
      </c>
      <c r="E51">
        <v>0.12559999999999999</v>
      </c>
      <c r="F51">
        <v>0.20469999999999999</v>
      </c>
      <c r="G51">
        <v>60</v>
      </c>
      <c r="H51">
        <v>130</v>
      </c>
      <c r="I51">
        <v>29</v>
      </c>
      <c r="J51">
        <v>1</v>
      </c>
      <c r="K51">
        <v>20.7</v>
      </c>
    </row>
    <row r="52" spans="1:11">
      <c r="A52">
        <v>0.26290000000000002</v>
      </c>
      <c r="B52">
        <v>9.1899999999999996E-2</v>
      </c>
      <c r="C52">
        <v>0</v>
      </c>
      <c r="D52">
        <v>8.6999999999999994E-3</v>
      </c>
      <c r="E52">
        <v>0.26879999999999998</v>
      </c>
      <c r="F52">
        <v>0.36770000000000003</v>
      </c>
      <c r="G52">
        <v>140</v>
      </c>
      <c r="H52">
        <v>200</v>
      </c>
      <c r="I52">
        <v>32</v>
      </c>
      <c r="J52">
        <v>2</v>
      </c>
      <c r="K52">
        <v>36.805999999999997</v>
      </c>
    </row>
    <row r="53" spans="1:11">
      <c r="A53">
        <v>0.38750000000000001</v>
      </c>
      <c r="B53">
        <v>5.3100000000000001E-2</v>
      </c>
      <c r="C53">
        <v>7.9600000000000004E-2</v>
      </c>
      <c r="D53">
        <v>0.1217</v>
      </c>
      <c r="E53">
        <v>0.2036</v>
      </c>
      <c r="F53">
        <v>0.1545</v>
      </c>
      <c r="G53">
        <v>80</v>
      </c>
      <c r="H53">
        <v>110</v>
      </c>
      <c r="I53">
        <v>35</v>
      </c>
      <c r="J53">
        <v>2</v>
      </c>
      <c r="K53">
        <v>31</v>
      </c>
    </row>
    <row r="54" spans="1:11">
      <c r="A54">
        <v>0.29170000000000001</v>
      </c>
      <c r="B54">
        <v>9.6600000000000005E-2</v>
      </c>
      <c r="C54">
        <v>0.11559999999999999</v>
      </c>
      <c r="D54">
        <v>0.1295</v>
      </c>
      <c r="E54">
        <v>0.16239999999999999</v>
      </c>
      <c r="F54">
        <v>0.20430000000000001</v>
      </c>
      <c r="G54">
        <v>80</v>
      </c>
      <c r="H54">
        <v>170</v>
      </c>
      <c r="I54">
        <v>26</v>
      </c>
      <c r="J54">
        <v>1</v>
      </c>
      <c r="K54">
        <v>23.335999999999999</v>
      </c>
    </row>
    <row r="55" spans="1:11">
      <c r="A55">
        <v>0.31490000000000001</v>
      </c>
      <c r="B55">
        <v>0.10780000000000001</v>
      </c>
      <c r="C55">
        <v>0.18459999999999999</v>
      </c>
      <c r="D55">
        <v>6.7400000000000002E-2</v>
      </c>
      <c r="E55">
        <v>0.1825</v>
      </c>
      <c r="F55">
        <v>0.1429</v>
      </c>
      <c r="G55">
        <v>100</v>
      </c>
      <c r="H55">
        <v>80</v>
      </c>
      <c r="I55">
        <v>30</v>
      </c>
      <c r="J55">
        <v>2</v>
      </c>
      <c r="K55">
        <v>31.49</v>
      </c>
    </row>
    <row r="56" spans="1:11">
      <c r="A56">
        <v>0.17499999999999999</v>
      </c>
      <c r="B56">
        <v>4.8800000000000003E-2</v>
      </c>
      <c r="C56">
        <v>0.28889999999999999</v>
      </c>
      <c r="D56">
        <v>5.7099999999999998E-2</v>
      </c>
      <c r="E56">
        <v>0.1013</v>
      </c>
      <c r="F56">
        <v>0.32879999999999998</v>
      </c>
      <c r="G56">
        <v>140</v>
      </c>
      <c r="H56">
        <v>140</v>
      </c>
      <c r="I56">
        <v>30</v>
      </c>
      <c r="J56">
        <v>1</v>
      </c>
      <c r="K56">
        <v>24.5</v>
      </c>
    </row>
    <row r="57" spans="1:11">
      <c r="A57">
        <v>0.37490000000000001</v>
      </c>
      <c r="B57">
        <v>9.4799999999999995E-2</v>
      </c>
      <c r="C57">
        <v>0.161</v>
      </c>
      <c r="D57">
        <v>2.86E-2</v>
      </c>
      <c r="E57">
        <v>0.2258</v>
      </c>
      <c r="F57">
        <v>0.115</v>
      </c>
      <c r="G57">
        <v>90</v>
      </c>
      <c r="H57">
        <v>110</v>
      </c>
      <c r="I57">
        <v>29</v>
      </c>
      <c r="J57">
        <v>1</v>
      </c>
      <c r="K57">
        <v>33.741</v>
      </c>
    </row>
    <row r="58" spans="1:11">
      <c r="A58">
        <v>0.18390000000000001</v>
      </c>
      <c r="B58">
        <v>6.1100000000000002E-2</v>
      </c>
      <c r="C58">
        <v>9.2799999999999994E-2</v>
      </c>
      <c r="D58">
        <v>4.5999999999999999E-3</v>
      </c>
      <c r="E58">
        <v>7.7100000000000002E-2</v>
      </c>
      <c r="F58">
        <v>0.58050000000000002</v>
      </c>
      <c r="G58">
        <v>190</v>
      </c>
      <c r="H58">
        <v>170</v>
      </c>
      <c r="I58">
        <v>49</v>
      </c>
      <c r="J58">
        <v>1</v>
      </c>
      <c r="K58">
        <v>34.941000000000003</v>
      </c>
    </row>
    <row r="59" spans="1:11">
      <c r="A59">
        <v>0.21859999999999999</v>
      </c>
      <c r="B59">
        <v>6.3700000000000007E-2</v>
      </c>
      <c r="C59">
        <v>0.28449999999999998</v>
      </c>
      <c r="D59">
        <v>2.1999999999999999E-2</v>
      </c>
      <c r="E59">
        <v>4.1000000000000003E-3</v>
      </c>
      <c r="F59">
        <v>0.40720000000000001</v>
      </c>
      <c r="G59">
        <v>280</v>
      </c>
      <c r="H59">
        <v>340</v>
      </c>
      <c r="I59">
        <v>41</v>
      </c>
      <c r="J59">
        <v>2</v>
      </c>
      <c r="K59">
        <v>61.207999999999998</v>
      </c>
    </row>
    <row r="60" spans="1:11">
      <c r="A60">
        <v>0.41549999999999998</v>
      </c>
      <c r="B60">
        <v>6.5500000000000003E-2</v>
      </c>
      <c r="C60">
        <v>0.19020000000000001</v>
      </c>
      <c r="D60">
        <v>4.5999999999999999E-2</v>
      </c>
      <c r="E60">
        <v>0.1114</v>
      </c>
      <c r="F60">
        <v>0.17150000000000001</v>
      </c>
      <c r="G60">
        <v>100</v>
      </c>
      <c r="H60">
        <v>130</v>
      </c>
      <c r="I60">
        <v>47</v>
      </c>
      <c r="J60">
        <v>2</v>
      </c>
      <c r="K60">
        <v>41.55</v>
      </c>
    </row>
    <row r="61" spans="1:11">
      <c r="A61">
        <v>0.34720000000000001</v>
      </c>
      <c r="B61">
        <v>0.27200000000000002</v>
      </c>
      <c r="C61">
        <v>0.11020000000000001</v>
      </c>
      <c r="D61">
        <v>1.8499999999999999E-2</v>
      </c>
      <c r="E61">
        <v>0</v>
      </c>
      <c r="F61">
        <v>0.25219999999999998</v>
      </c>
      <c r="G61">
        <v>80</v>
      </c>
      <c r="H61">
        <v>90</v>
      </c>
      <c r="I61">
        <v>24</v>
      </c>
      <c r="J61">
        <v>1</v>
      </c>
      <c r="K61">
        <v>27.776</v>
      </c>
    </row>
    <row r="62" spans="1:11">
      <c r="A62">
        <v>0.46489999999999998</v>
      </c>
      <c r="B62">
        <v>0.1221</v>
      </c>
      <c r="C62">
        <v>5.1700000000000003E-2</v>
      </c>
      <c r="D62">
        <v>0</v>
      </c>
      <c r="E62">
        <v>1.2999999999999999E-2</v>
      </c>
      <c r="F62">
        <v>0.34839999999999999</v>
      </c>
      <c r="G62">
        <v>90</v>
      </c>
      <c r="H62">
        <v>110</v>
      </c>
      <c r="I62">
        <v>51</v>
      </c>
      <c r="J62">
        <v>1</v>
      </c>
      <c r="K62">
        <v>41.841000000000001</v>
      </c>
    </row>
    <row r="63" spans="1:11">
      <c r="A63">
        <v>0.24229999999999999</v>
      </c>
      <c r="B63">
        <v>7.8299999999999995E-2</v>
      </c>
      <c r="C63">
        <v>0.14949999999999999</v>
      </c>
      <c r="D63">
        <v>1.83E-2</v>
      </c>
      <c r="E63">
        <v>0.28310000000000002</v>
      </c>
      <c r="F63">
        <v>0.22850000000000001</v>
      </c>
      <c r="G63">
        <v>110</v>
      </c>
      <c r="H63">
        <v>140</v>
      </c>
      <c r="I63">
        <v>35</v>
      </c>
      <c r="J63">
        <v>2</v>
      </c>
      <c r="K63">
        <v>26.652999999999999</v>
      </c>
    </row>
    <row r="64" spans="1:11">
      <c r="A64">
        <v>0.44190000000000002</v>
      </c>
      <c r="B64">
        <v>0.1118</v>
      </c>
      <c r="C64">
        <v>0.106</v>
      </c>
      <c r="D64">
        <v>0</v>
      </c>
      <c r="E64">
        <v>6.4399999999999999E-2</v>
      </c>
      <c r="F64">
        <v>0.27589999999999998</v>
      </c>
      <c r="G64">
        <v>60</v>
      </c>
      <c r="H64">
        <v>90</v>
      </c>
      <c r="I64">
        <v>47</v>
      </c>
      <c r="J64">
        <v>1</v>
      </c>
      <c r="K64">
        <v>26.513999999999999</v>
      </c>
    </row>
    <row r="65" spans="1:11">
      <c r="A65">
        <v>0.35399999999999998</v>
      </c>
      <c r="B65">
        <v>4.0300000000000002E-2</v>
      </c>
      <c r="C65">
        <v>0.1012</v>
      </c>
      <c r="D65">
        <v>0.14879999999999999</v>
      </c>
      <c r="E65">
        <v>9.6799999999999997E-2</v>
      </c>
      <c r="F65">
        <v>0.25900000000000001</v>
      </c>
      <c r="G65">
        <v>130</v>
      </c>
      <c r="H65">
        <v>150</v>
      </c>
      <c r="I65">
        <v>29</v>
      </c>
      <c r="J65">
        <v>1</v>
      </c>
      <c r="K65">
        <v>46.02</v>
      </c>
    </row>
    <row r="66" spans="1:11">
      <c r="A66">
        <v>0.45019999999999999</v>
      </c>
      <c r="B66">
        <v>8.7300000000000003E-2</v>
      </c>
      <c r="C66">
        <v>2.5399999999999999E-2</v>
      </c>
      <c r="D66">
        <v>0</v>
      </c>
      <c r="E66">
        <v>0.1168</v>
      </c>
      <c r="F66">
        <v>0.32029999999999997</v>
      </c>
      <c r="G66">
        <v>100</v>
      </c>
      <c r="H66">
        <v>110</v>
      </c>
      <c r="I66">
        <v>29</v>
      </c>
      <c r="J66">
        <v>2</v>
      </c>
      <c r="K66">
        <v>45.02</v>
      </c>
    </row>
    <row r="67" spans="1:11">
      <c r="A67">
        <v>0.33579999999999999</v>
      </c>
      <c r="B67">
        <v>8.8499999999999995E-2</v>
      </c>
      <c r="C67">
        <v>0.26369999999999999</v>
      </c>
      <c r="D67">
        <v>3.0800000000000001E-2</v>
      </c>
      <c r="E67">
        <v>1.21E-2</v>
      </c>
      <c r="F67">
        <v>0.26919999999999999</v>
      </c>
      <c r="G67">
        <v>80</v>
      </c>
      <c r="H67">
        <v>130</v>
      </c>
      <c r="I67">
        <v>38</v>
      </c>
      <c r="J67">
        <v>2</v>
      </c>
      <c r="K67">
        <v>26.864000000000001</v>
      </c>
    </row>
    <row r="68" spans="1:11">
      <c r="A68">
        <v>0.37190000000000001</v>
      </c>
      <c r="B68">
        <v>0.12379999999999999</v>
      </c>
      <c r="C68">
        <v>1.55E-2</v>
      </c>
      <c r="D68">
        <v>2.64E-2</v>
      </c>
      <c r="E68">
        <v>0.1704</v>
      </c>
      <c r="F68">
        <v>0.29199999999999998</v>
      </c>
      <c r="G68">
        <v>90</v>
      </c>
      <c r="H68">
        <v>140</v>
      </c>
      <c r="I68">
        <v>38</v>
      </c>
      <c r="J68">
        <v>2</v>
      </c>
      <c r="K68">
        <v>33.470999999999997</v>
      </c>
    </row>
    <row r="69" spans="1:11">
      <c r="A69">
        <v>0.64649999999999996</v>
      </c>
      <c r="B69">
        <v>0.14560000000000001</v>
      </c>
      <c r="C69">
        <v>4.8999999999999998E-3</v>
      </c>
      <c r="D69">
        <v>9.0499999999999997E-2</v>
      </c>
      <c r="E69">
        <v>1.7500000000000002E-2</v>
      </c>
      <c r="F69">
        <v>9.5000000000000001E-2</v>
      </c>
      <c r="G69">
        <v>40</v>
      </c>
      <c r="H69">
        <v>70</v>
      </c>
      <c r="I69">
        <v>32</v>
      </c>
      <c r="J69">
        <v>2</v>
      </c>
      <c r="K69">
        <v>25.86</v>
      </c>
    </row>
    <row r="70" spans="1:11">
      <c r="A70">
        <v>0.52170000000000005</v>
      </c>
      <c r="B70">
        <v>0.15010000000000001</v>
      </c>
      <c r="C70">
        <v>0.14910000000000001</v>
      </c>
      <c r="D70">
        <v>0</v>
      </c>
      <c r="E70">
        <v>1.2E-2</v>
      </c>
      <c r="F70">
        <v>0.1671</v>
      </c>
      <c r="G70">
        <v>50</v>
      </c>
      <c r="H70">
        <v>90</v>
      </c>
      <c r="I70">
        <v>29</v>
      </c>
      <c r="J70">
        <v>2</v>
      </c>
      <c r="K70">
        <v>26.085000000000001</v>
      </c>
    </row>
    <row r="71" spans="1:11">
      <c r="A71">
        <v>0.35849999999999999</v>
      </c>
      <c r="B71">
        <v>9.4899999999999998E-2</v>
      </c>
      <c r="C71">
        <v>8.3400000000000002E-2</v>
      </c>
      <c r="D71">
        <v>0</v>
      </c>
      <c r="E71">
        <v>3.0300000000000001E-2</v>
      </c>
      <c r="F71">
        <v>0.43290000000000001</v>
      </c>
      <c r="G71">
        <v>70</v>
      </c>
      <c r="H71">
        <v>130</v>
      </c>
      <c r="I71">
        <v>34</v>
      </c>
      <c r="J71">
        <v>2</v>
      </c>
      <c r="K71">
        <v>25.094999999999999</v>
      </c>
    </row>
    <row r="72" spans="1:11">
      <c r="A72">
        <v>0.27700000000000002</v>
      </c>
      <c r="B72">
        <v>0.1057</v>
      </c>
      <c r="C72">
        <v>9.7999999999999997E-3</v>
      </c>
      <c r="D72">
        <v>0.2525</v>
      </c>
      <c r="E72">
        <v>0.11700000000000001</v>
      </c>
      <c r="F72">
        <v>0.23799999999999999</v>
      </c>
      <c r="G72">
        <v>90</v>
      </c>
      <c r="H72">
        <v>150</v>
      </c>
      <c r="I72">
        <v>26</v>
      </c>
      <c r="J72">
        <v>2</v>
      </c>
      <c r="K72">
        <v>24.93</v>
      </c>
    </row>
    <row r="73" spans="1:11">
      <c r="A73">
        <v>0.53480000000000005</v>
      </c>
      <c r="B73">
        <v>6.5299999999999997E-2</v>
      </c>
      <c r="C73">
        <v>0.19800000000000001</v>
      </c>
      <c r="D73">
        <v>4.7300000000000002E-2</v>
      </c>
      <c r="E73">
        <v>3.7199999999999997E-2</v>
      </c>
      <c r="F73">
        <v>0.1173</v>
      </c>
      <c r="G73">
        <v>130</v>
      </c>
      <c r="H73">
        <v>110</v>
      </c>
      <c r="I73">
        <v>33</v>
      </c>
      <c r="J73">
        <v>2</v>
      </c>
      <c r="K73">
        <v>69.524000000000001</v>
      </c>
    </row>
    <row r="74" spans="1:11">
      <c r="A74">
        <v>0.49840000000000001</v>
      </c>
      <c r="B74">
        <v>0.13730000000000001</v>
      </c>
      <c r="C74">
        <v>1.47E-2</v>
      </c>
      <c r="D74">
        <v>0.1072</v>
      </c>
      <c r="E74">
        <v>7.6100000000000001E-2</v>
      </c>
      <c r="F74">
        <v>0.1663</v>
      </c>
      <c r="G74">
        <v>40</v>
      </c>
      <c r="H74">
        <v>80</v>
      </c>
      <c r="I74">
        <v>47</v>
      </c>
      <c r="J74">
        <v>1</v>
      </c>
      <c r="K74">
        <v>19.936</v>
      </c>
    </row>
    <row r="75" spans="1:11">
      <c r="A75">
        <v>0.42230000000000001</v>
      </c>
      <c r="B75">
        <v>9.9500000000000005E-2</v>
      </c>
      <c r="C75">
        <v>0.15820000000000001</v>
      </c>
      <c r="D75">
        <v>6.6600000000000006E-2</v>
      </c>
      <c r="E75">
        <v>8.0000000000000004E-4</v>
      </c>
      <c r="F75">
        <v>0.25259999999999999</v>
      </c>
      <c r="G75">
        <v>90</v>
      </c>
      <c r="H75">
        <v>80</v>
      </c>
      <c r="I75">
        <v>28</v>
      </c>
      <c r="J75">
        <v>2</v>
      </c>
      <c r="K75">
        <v>38.006999999999998</v>
      </c>
    </row>
    <row r="76" spans="1:11">
      <c r="A76">
        <v>0.45329999999999998</v>
      </c>
      <c r="B76">
        <v>6.7400000000000002E-2</v>
      </c>
      <c r="C76">
        <v>5.96E-2</v>
      </c>
      <c r="D76">
        <v>0</v>
      </c>
      <c r="E76">
        <v>4.3499999999999997E-2</v>
      </c>
      <c r="F76">
        <v>0.37630000000000002</v>
      </c>
      <c r="G76">
        <v>130</v>
      </c>
      <c r="H76">
        <v>90</v>
      </c>
      <c r="I76">
        <v>25</v>
      </c>
      <c r="J76">
        <v>1</v>
      </c>
      <c r="K76">
        <v>58.929000000000002</v>
      </c>
    </row>
    <row r="77" spans="1:11">
      <c r="A77">
        <v>0.42020000000000002</v>
      </c>
      <c r="B77">
        <v>5.9400000000000001E-2</v>
      </c>
      <c r="C77">
        <v>4.19E-2</v>
      </c>
      <c r="D77">
        <v>4.65E-2</v>
      </c>
      <c r="E77">
        <v>0.1888</v>
      </c>
      <c r="F77">
        <v>0.24310000000000001</v>
      </c>
      <c r="G77">
        <v>70</v>
      </c>
      <c r="H77">
        <v>90</v>
      </c>
      <c r="I77">
        <v>28</v>
      </c>
      <c r="J77">
        <v>2</v>
      </c>
      <c r="K77">
        <v>29.414000000000001</v>
      </c>
    </row>
    <row r="78" spans="1:11">
      <c r="A78">
        <v>0.43619999999999998</v>
      </c>
      <c r="B78">
        <v>8.2299999999999998E-2</v>
      </c>
      <c r="C78">
        <v>0.19139999999999999</v>
      </c>
      <c r="D78">
        <v>3.1300000000000001E-2</v>
      </c>
      <c r="E78">
        <v>0.13400000000000001</v>
      </c>
      <c r="F78">
        <v>0.12479999999999999</v>
      </c>
      <c r="G78">
        <v>110</v>
      </c>
      <c r="H78">
        <v>150</v>
      </c>
      <c r="I78">
        <v>40</v>
      </c>
      <c r="J78">
        <v>2</v>
      </c>
      <c r="K78">
        <v>47.981999999999999</v>
      </c>
    </row>
    <row r="79" spans="1:11">
      <c r="A79">
        <v>0.3533</v>
      </c>
      <c r="B79">
        <v>9.06E-2</v>
      </c>
      <c r="C79">
        <v>0.02</v>
      </c>
      <c r="D79">
        <v>0.2029</v>
      </c>
      <c r="E79">
        <v>6.1000000000000004E-3</v>
      </c>
      <c r="F79">
        <v>0.3271</v>
      </c>
      <c r="G79">
        <v>80</v>
      </c>
      <c r="H79">
        <v>160</v>
      </c>
      <c r="I79">
        <v>24</v>
      </c>
      <c r="J79">
        <v>1</v>
      </c>
      <c r="K79">
        <v>28.263999999999999</v>
      </c>
    </row>
    <row r="80" spans="1:11">
      <c r="A80">
        <v>0.1946</v>
      </c>
      <c r="B80">
        <v>0.20669999999999999</v>
      </c>
      <c r="C80">
        <v>9.2700000000000005E-2</v>
      </c>
      <c r="D80">
        <v>0.19570000000000001</v>
      </c>
      <c r="E80">
        <v>4.6100000000000002E-2</v>
      </c>
      <c r="F80">
        <v>0.26429999999999998</v>
      </c>
      <c r="G80">
        <v>360</v>
      </c>
      <c r="H80">
        <v>220</v>
      </c>
      <c r="I80">
        <v>41</v>
      </c>
      <c r="J80">
        <v>1</v>
      </c>
      <c r="K80">
        <v>70.055999999999997</v>
      </c>
    </row>
    <row r="81" spans="1:11">
      <c r="A81">
        <v>0.58330000000000004</v>
      </c>
      <c r="B81">
        <v>0.1343</v>
      </c>
      <c r="C81">
        <v>2.1700000000000001E-2</v>
      </c>
      <c r="D81">
        <v>3.32E-2</v>
      </c>
      <c r="E81">
        <v>4.4299999999999999E-2</v>
      </c>
      <c r="F81">
        <v>0.18329999999999999</v>
      </c>
      <c r="G81">
        <v>60</v>
      </c>
      <c r="H81">
        <v>90</v>
      </c>
      <c r="I81">
        <v>33</v>
      </c>
      <c r="J81">
        <v>1</v>
      </c>
      <c r="K81">
        <v>34.997999999999998</v>
      </c>
    </row>
    <row r="82" spans="1:11">
      <c r="A82">
        <v>0.37880000000000003</v>
      </c>
      <c r="B82">
        <v>9.35E-2</v>
      </c>
      <c r="C82">
        <v>0.22939999999999999</v>
      </c>
      <c r="D82">
        <v>3.8699999999999998E-2</v>
      </c>
      <c r="E82">
        <v>0.14960000000000001</v>
      </c>
      <c r="F82">
        <v>0.11</v>
      </c>
      <c r="G82">
        <v>90</v>
      </c>
      <c r="H82">
        <v>200</v>
      </c>
      <c r="I82">
        <v>32</v>
      </c>
      <c r="J82">
        <v>2</v>
      </c>
      <c r="K82">
        <v>34.091999999999999</v>
      </c>
    </row>
    <row r="83" spans="1:11">
      <c r="A83">
        <v>9.5399999999999999E-2</v>
      </c>
      <c r="B83">
        <v>3.8199999999999998E-2</v>
      </c>
      <c r="C83">
        <v>1.6999999999999999E-3</v>
      </c>
      <c r="D83">
        <v>2.7900000000000001E-2</v>
      </c>
      <c r="E83">
        <v>0.76380000000000003</v>
      </c>
      <c r="F83">
        <v>7.2900000000000006E-2</v>
      </c>
      <c r="G83">
        <v>310</v>
      </c>
      <c r="H83">
        <v>270</v>
      </c>
      <c r="I83">
        <v>36</v>
      </c>
      <c r="J83">
        <v>1</v>
      </c>
      <c r="K83">
        <v>29.574000000000002</v>
      </c>
    </row>
    <row r="84" spans="1:11">
      <c r="A84">
        <v>0.15409999999999999</v>
      </c>
      <c r="B84">
        <v>8.8400000000000006E-2</v>
      </c>
      <c r="C84">
        <v>0.2278</v>
      </c>
      <c r="D84">
        <v>3.32E-2</v>
      </c>
      <c r="E84">
        <v>3.8100000000000002E-2</v>
      </c>
      <c r="F84">
        <v>0.45829999999999999</v>
      </c>
      <c r="G84">
        <v>170</v>
      </c>
      <c r="H84">
        <v>130</v>
      </c>
      <c r="I84">
        <v>52</v>
      </c>
      <c r="J84">
        <v>1</v>
      </c>
      <c r="K84">
        <v>26.196999999999999</v>
      </c>
    </row>
    <row r="85" spans="1:11">
      <c r="A85">
        <v>0.39329999999999998</v>
      </c>
      <c r="B85">
        <v>4.1700000000000001E-2</v>
      </c>
      <c r="C85">
        <v>0.13930000000000001</v>
      </c>
      <c r="D85">
        <v>6.7900000000000002E-2</v>
      </c>
      <c r="E85">
        <v>0.25979999999999998</v>
      </c>
      <c r="F85">
        <v>9.8000000000000004E-2</v>
      </c>
      <c r="G85">
        <v>210</v>
      </c>
      <c r="H85">
        <v>120</v>
      </c>
      <c r="I85">
        <v>38</v>
      </c>
      <c r="J85">
        <v>1</v>
      </c>
      <c r="K85">
        <v>82.593000000000004</v>
      </c>
    </row>
    <row r="86" spans="1:11">
      <c r="A86">
        <v>0.30590000000000001</v>
      </c>
      <c r="B86">
        <v>0.19309999999999999</v>
      </c>
      <c r="C86">
        <v>1.44E-2</v>
      </c>
      <c r="D86">
        <v>3.78E-2</v>
      </c>
      <c r="E86">
        <v>0.3145</v>
      </c>
      <c r="F86">
        <v>0.1343</v>
      </c>
      <c r="G86">
        <v>70</v>
      </c>
      <c r="H86">
        <v>130</v>
      </c>
      <c r="I86">
        <v>30</v>
      </c>
      <c r="J86">
        <v>1</v>
      </c>
      <c r="K86">
        <v>21.413</v>
      </c>
    </row>
    <row r="87" spans="1:11">
      <c r="A87">
        <v>0.31269999999999998</v>
      </c>
      <c r="B87">
        <v>9.4500000000000001E-2</v>
      </c>
      <c r="C87">
        <v>4.5100000000000001E-2</v>
      </c>
      <c r="D87">
        <v>8.6999999999999994E-3</v>
      </c>
      <c r="E87">
        <v>0.35880000000000001</v>
      </c>
      <c r="F87">
        <v>0.1802</v>
      </c>
      <c r="G87">
        <v>100</v>
      </c>
      <c r="H87">
        <v>100</v>
      </c>
      <c r="I87">
        <v>46</v>
      </c>
      <c r="J87">
        <v>2</v>
      </c>
      <c r="K87">
        <v>31.27</v>
      </c>
    </row>
    <row r="88" spans="1:11">
      <c r="A88">
        <v>0.44319999999999998</v>
      </c>
      <c r="B88">
        <v>0.25829999999999997</v>
      </c>
      <c r="C88">
        <v>0</v>
      </c>
      <c r="D88">
        <v>0</v>
      </c>
      <c r="E88">
        <v>0</v>
      </c>
      <c r="F88">
        <v>0.29849999999999999</v>
      </c>
      <c r="G88">
        <v>40</v>
      </c>
      <c r="H88">
        <v>70</v>
      </c>
      <c r="I88">
        <v>29</v>
      </c>
      <c r="J88">
        <v>1</v>
      </c>
      <c r="K88">
        <v>17.728000000000002</v>
      </c>
    </row>
    <row r="89" spans="1:11">
      <c r="A89">
        <v>0.54500000000000004</v>
      </c>
      <c r="B89">
        <v>0.16800000000000001</v>
      </c>
      <c r="C89">
        <v>1.6799999999999999E-2</v>
      </c>
      <c r="D89">
        <v>5.11E-2</v>
      </c>
      <c r="E89">
        <v>0</v>
      </c>
      <c r="F89">
        <v>0.219</v>
      </c>
      <c r="G89">
        <v>40</v>
      </c>
      <c r="H89">
        <v>80</v>
      </c>
      <c r="I89">
        <v>28</v>
      </c>
      <c r="J89">
        <v>1</v>
      </c>
      <c r="K89">
        <v>21.8</v>
      </c>
    </row>
    <row r="90" spans="1:11">
      <c r="A90">
        <v>0.47239999999999999</v>
      </c>
      <c r="B90">
        <v>7.22E-2</v>
      </c>
      <c r="C90">
        <v>3.0599999999999999E-2</v>
      </c>
      <c r="D90">
        <v>0</v>
      </c>
      <c r="E90">
        <v>0.25159999999999999</v>
      </c>
      <c r="F90">
        <v>0.17319999999999999</v>
      </c>
      <c r="G90">
        <v>50</v>
      </c>
      <c r="H90">
        <v>100</v>
      </c>
      <c r="I90">
        <v>59</v>
      </c>
      <c r="J90">
        <v>1</v>
      </c>
      <c r="K90">
        <v>23.62</v>
      </c>
    </row>
    <row r="91" spans="1:11">
      <c r="A91">
        <v>0.44</v>
      </c>
      <c r="B91">
        <v>0.10199999999999999</v>
      </c>
      <c r="C91">
        <v>3.8E-3</v>
      </c>
      <c r="D91">
        <v>0.21659999999999999</v>
      </c>
      <c r="E91">
        <v>0.13639999999999999</v>
      </c>
      <c r="F91">
        <v>0.1012</v>
      </c>
      <c r="G91">
        <v>90</v>
      </c>
      <c r="H91">
        <v>110</v>
      </c>
      <c r="I91">
        <v>39</v>
      </c>
      <c r="J91">
        <v>1</v>
      </c>
      <c r="K91">
        <v>39.6</v>
      </c>
    </row>
    <row r="92" spans="1:11">
      <c r="A92">
        <v>0.32119999999999999</v>
      </c>
      <c r="B92">
        <v>5.7700000000000001E-2</v>
      </c>
      <c r="C92">
        <v>0.21579999999999999</v>
      </c>
      <c r="D92">
        <v>7.7399999999999997E-2</v>
      </c>
      <c r="E92">
        <v>0.14599999999999999</v>
      </c>
      <c r="F92">
        <v>0.18190000000000001</v>
      </c>
      <c r="G92">
        <v>120</v>
      </c>
      <c r="H92">
        <v>230</v>
      </c>
      <c r="I92">
        <v>44</v>
      </c>
      <c r="J92">
        <v>2</v>
      </c>
      <c r="K92">
        <v>38.543999999999997</v>
      </c>
    </row>
    <row r="93" spans="1:11">
      <c r="A93">
        <v>0.39419999999999999</v>
      </c>
      <c r="B93">
        <v>8.48E-2</v>
      </c>
      <c r="C93">
        <v>0.13700000000000001</v>
      </c>
      <c r="D93">
        <v>5.7700000000000001E-2</v>
      </c>
      <c r="E93">
        <v>0.1153</v>
      </c>
      <c r="F93">
        <v>0.21110000000000001</v>
      </c>
      <c r="G93">
        <v>70</v>
      </c>
      <c r="H93">
        <v>110</v>
      </c>
      <c r="I93">
        <v>34</v>
      </c>
      <c r="J93">
        <v>2</v>
      </c>
      <c r="K93">
        <v>27.594000000000001</v>
      </c>
    </row>
    <row r="94" spans="1:11">
      <c r="A94">
        <v>0.35270000000000001</v>
      </c>
      <c r="B94">
        <v>6.8900000000000003E-2</v>
      </c>
      <c r="C94">
        <v>7.17E-2</v>
      </c>
      <c r="D94">
        <v>2.2000000000000001E-3</v>
      </c>
      <c r="E94">
        <v>0.21240000000000001</v>
      </c>
      <c r="F94">
        <v>0.29210000000000003</v>
      </c>
      <c r="G94">
        <v>70</v>
      </c>
      <c r="H94">
        <v>60</v>
      </c>
      <c r="I94">
        <v>37</v>
      </c>
      <c r="J94">
        <v>2</v>
      </c>
      <c r="K94">
        <v>24.689</v>
      </c>
    </row>
    <row r="95" spans="1:11">
      <c r="A95">
        <v>0.28060000000000002</v>
      </c>
      <c r="B95">
        <v>0.18740000000000001</v>
      </c>
      <c r="C95">
        <v>8.3400000000000002E-2</v>
      </c>
      <c r="D95">
        <v>2.7000000000000001E-3</v>
      </c>
      <c r="E95">
        <v>2.8199999999999999E-2</v>
      </c>
      <c r="F95">
        <v>0.41770000000000002</v>
      </c>
      <c r="G95">
        <v>140</v>
      </c>
      <c r="H95">
        <v>360</v>
      </c>
      <c r="I95">
        <v>35</v>
      </c>
      <c r="J95">
        <v>2</v>
      </c>
      <c r="K95">
        <v>39.283999999999999</v>
      </c>
    </row>
    <row r="96" spans="1:11">
      <c r="A96">
        <v>0.5766</v>
      </c>
      <c r="B96">
        <v>5.5300000000000002E-2</v>
      </c>
      <c r="C96">
        <v>4.4600000000000001E-2</v>
      </c>
      <c r="D96">
        <v>0.12690000000000001</v>
      </c>
      <c r="E96">
        <v>9.6199999999999994E-2</v>
      </c>
      <c r="F96">
        <v>0.1004</v>
      </c>
      <c r="G96">
        <v>80</v>
      </c>
      <c r="H96">
        <v>130</v>
      </c>
      <c r="I96">
        <v>26</v>
      </c>
      <c r="J96">
        <v>2</v>
      </c>
      <c r="K96">
        <v>46.128</v>
      </c>
    </row>
    <row r="97" spans="1:11">
      <c r="A97">
        <v>0.36940000000000001</v>
      </c>
      <c r="B97">
        <v>0.23019999999999999</v>
      </c>
      <c r="C97">
        <v>0</v>
      </c>
      <c r="D97">
        <v>6.1800000000000001E-2</v>
      </c>
      <c r="E97">
        <v>3.2599999999999997E-2</v>
      </c>
      <c r="F97">
        <v>0.30599999999999999</v>
      </c>
      <c r="G97">
        <v>70</v>
      </c>
      <c r="H97">
        <v>110</v>
      </c>
      <c r="I97">
        <v>30</v>
      </c>
      <c r="J97">
        <v>2</v>
      </c>
      <c r="K97">
        <v>25.858000000000001</v>
      </c>
    </row>
    <row r="98" spans="1:11">
      <c r="A98">
        <v>0.30570000000000003</v>
      </c>
      <c r="B98">
        <v>0.14680000000000001</v>
      </c>
      <c r="C98">
        <v>0.16800000000000001</v>
      </c>
      <c r="D98">
        <v>0.156</v>
      </c>
      <c r="E98">
        <v>9.1800000000000007E-2</v>
      </c>
      <c r="F98">
        <v>0.13170000000000001</v>
      </c>
      <c r="G98">
        <v>100</v>
      </c>
      <c r="H98">
        <v>110</v>
      </c>
      <c r="I98">
        <v>34</v>
      </c>
      <c r="J98">
        <v>1</v>
      </c>
      <c r="K98">
        <v>30.57</v>
      </c>
    </row>
    <row r="99" spans="1:11">
      <c r="A99">
        <v>0.4299</v>
      </c>
      <c r="B99">
        <v>0.1245</v>
      </c>
      <c r="C99">
        <v>0</v>
      </c>
      <c r="D99">
        <v>9.3399999999999997E-2</v>
      </c>
      <c r="E99">
        <v>0.19409999999999999</v>
      </c>
      <c r="F99">
        <v>0.158</v>
      </c>
      <c r="G99">
        <v>60</v>
      </c>
      <c r="H99">
        <v>120</v>
      </c>
      <c r="I99">
        <v>36</v>
      </c>
      <c r="J99">
        <v>1</v>
      </c>
      <c r="K99">
        <v>25.794</v>
      </c>
    </row>
    <row r="100" spans="1:11">
      <c r="A100">
        <v>0.1694</v>
      </c>
      <c r="B100">
        <v>2.29E-2</v>
      </c>
      <c r="C100">
        <v>8.5599999999999996E-2</v>
      </c>
      <c r="D100">
        <v>6.8400000000000002E-2</v>
      </c>
      <c r="E100">
        <v>0.45200000000000001</v>
      </c>
      <c r="F100">
        <v>0.20169999999999999</v>
      </c>
      <c r="G100">
        <v>230</v>
      </c>
      <c r="H100">
        <v>190</v>
      </c>
      <c r="I100">
        <v>36</v>
      </c>
      <c r="J100">
        <v>2</v>
      </c>
      <c r="K100">
        <v>38.962000000000003</v>
      </c>
    </row>
    <row r="101" spans="1:11">
      <c r="A101">
        <v>0.37380000000000002</v>
      </c>
      <c r="B101">
        <v>7.7799999999999994E-2</v>
      </c>
      <c r="C101">
        <v>6.7400000000000002E-2</v>
      </c>
      <c r="D101">
        <v>8.4099999999999994E-2</v>
      </c>
      <c r="E101">
        <v>0.21909999999999999</v>
      </c>
      <c r="F101">
        <v>0.1779</v>
      </c>
      <c r="G101">
        <v>70</v>
      </c>
      <c r="H101">
        <v>100</v>
      </c>
      <c r="I101">
        <v>32</v>
      </c>
      <c r="J101">
        <v>2</v>
      </c>
      <c r="K101">
        <v>26.166</v>
      </c>
    </row>
    <row r="102" spans="1:11">
      <c r="A102">
        <v>0.26850000000000002</v>
      </c>
      <c r="B102">
        <v>9.4299999999999995E-2</v>
      </c>
      <c r="C102">
        <v>0.30359999999999998</v>
      </c>
      <c r="D102">
        <v>2.07E-2</v>
      </c>
      <c r="E102">
        <v>0.1421</v>
      </c>
      <c r="F102">
        <v>0.17080000000000001</v>
      </c>
      <c r="G102">
        <v>120</v>
      </c>
      <c r="H102">
        <v>250</v>
      </c>
      <c r="I102">
        <v>40</v>
      </c>
      <c r="J102">
        <v>2</v>
      </c>
      <c r="K102">
        <v>32.22</v>
      </c>
    </row>
    <row r="103" spans="1:11">
      <c r="A103">
        <v>0.46450000000000002</v>
      </c>
      <c r="B103">
        <v>0.1171</v>
      </c>
      <c r="C103">
        <v>9.8500000000000004E-2</v>
      </c>
      <c r="D103">
        <v>1.2999999999999999E-3</v>
      </c>
      <c r="E103">
        <v>6.3399999999999998E-2</v>
      </c>
      <c r="F103">
        <v>0.25519999999999998</v>
      </c>
      <c r="G103">
        <v>70</v>
      </c>
      <c r="H103">
        <v>90</v>
      </c>
      <c r="I103">
        <v>53</v>
      </c>
      <c r="J103">
        <v>1</v>
      </c>
      <c r="K103">
        <v>32.515000000000001</v>
      </c>
    </row>
    <row r="104" spans="1:11">
      <c r="A104">
        <v>0.51639999999999997</v>
      </c>
      <c r="B104">
        <v>0.10059999999999999</v>
      </c>
      <c r="C104">
        <v>0.1172</v>
      </c>
      <c r="D104">
        <v>2.6200000000000001E-2</v>
      </c>
      <c r="E104">
        <v>3.6900000000000002E-2</v>
      </c>
      <c r="F104">
        <v>0.20269999999999999</v>
      </c>
      <c r="G104">
        <v>70</v>
      </c>
      <c r="H104">
        <v>90</v>
      </c>
      <c r="I104">
        <v>30</v>
      </c>
      <c r="J104">
        <v>2</v>
      </c>
      <c r="K104">
        <v>36.148000000000003</v>
      </c>
    </row>
    <row r="105" spans="1:11">
      <c r="A105">
        <v>0.3427</v>
      </c>
      <c r="B105">
        <v>7.2499999999999995E-2</v>
      </c>
      <c r="C105">
        <v>3.0000000000000001E-3</v>
      </c>
      <c r="D105">
        <v>0.2306</v>
      </c>
      <c r="E105">
        <v>1.3100000000000001E-2</v>
      </c>
      <c r="F105">
        <v>0.3382</v>
      </c>
      <c r="G105">
        <v>80</v>
      </c>
      <c r="H105">
        <v>80</v>
      </c>
      <c r="I105">
        <v>32</v>
      </c>
      <c r="J105">
        <v>1</v>
      </c>
      <c r="K105">
        <v>27.416</v>
      </c>
    </row>
    <row r="106" spans="1:11">
      <c r="A106">
        <v>0.2412</v>
      </c>
      <c r="B106">
        <v>0.11169999999999999</v>
      </c>
      <c r="C106">
        <v>1.84E-2</v>
      </c>
      <c r="D106">
        <v>4.0899999999999999E-2</v>
      </c>
      <c r="E106">
        <v>0.15040000000000001</v>
      </c>
      <c r="F106">
        <v>0.43740000000000001</v>
      </c>
      <c r="G106">
        <v>160</v>
      </c>
      <c r="H106">
        <v>140</v>
      </c>
      <c r="I106">
        <v>45</v>
      </c>
      <c r="J106">
        <v>1</v>
      </c>
      <c r="K106">
        <v>38.591999999999999</v>
      </c>
    </row>
    <row r="107" spans="1:11">
      <c r="A107">
        <v>0.3644</v>
      </c>
      <c r="B107">
        <v>0.15229999999999999</v>
      </c>
      <c r="C107">
        <v>4.5600000000000002E-2</v>
      </c>
      <c r="D107">
        <v>7.7700000000000005E-2</v>
      </c>
      <c r="E107">
        <v>0.223</v>
      </c>
      <c r="F107">
        <v>0.13689999999999999</v>
      </c>
      <c r="G107">
        <v>70</v>
      </c>
      <c r="H107">
        <v>130</v>
      </c>
      <c r="I107">
        <v>30</v>
      </c>
      <c r="J107">
        <v>2</v>
      </c>
      <c r="K107">
        <v>25.507999999999999</v>
      </c>
    </row>
    <row r="108" spans="1:11">
      <c r="A108">
        <v>0.36969999999999997</v>
      </c>
      <c r="B108">
        <v>7.85E-2</v>
      </c>
      <c r="C108">
        <v>6.93E-2</v>
      </c>
      <c r="D108">
        <v>9.1999999999999998E-2</v>
      </c>
      <c r="E108">
        <v>5.6099999999999997E-2</v>
      </c>
      <c r="F108">
        <v>0.33439999999999998</v>
      </c>
      <c r="G108">
        <v>60</v>
      </c>
      <c r="H108">
        <v>90</v>
      </c>
      <c r="I108">
        <v>26</v>
      </c>
      <c r="J108">
        <v>2</v>
      </c>
      <c r="K108">
        <v>22.181999999999999</v>
      </c>
    </row>
    <row r="109" spans="1:11">
      <c r="A109">
        <v>0.38340000000000002</v>
      </c>
      <c r="B109">
        <v>5.57E-2</v>
      </c>
      <c r="C109">
        <v>0.14230000000000001</v>
      </c>
      <c r="D109">
        <v>0.2379</v>
      </c>
      <c r="E109">
        <v>4.5999999999999999E-3</v>
      </c>
      <c r="F109">
        <v>0.17599999999999999</v>
      </c>
      <c r="G109">
        <v>80</v>
      </c>
      <c r="H109">
        <v>170</v>
      </c>
      <c r="I109">
        <v>25</v>
      </c>
      <c r="J109">
        <v>2</v>
      </c>
      <c r="K109">
        <v>30.672000000000001</v>
      </c>
    </row>
    <row r="110" spans="1:11">
      <c r="A110">
        <v>0.40529999999999999</v>
      </c>
      <c r="B110">
        <v>9.9599999999999994E-2</v>
      </c>
      <c r="C110">
        <v>2.1299999999999999E-2</v>
      </c>
      <c r="D110">
        <v>4.6399999999999997E-2</v>
      </c>
      <c r="E110">
        <v>0.25690000000000002</v>
      </c>
      <c r="F110">
        <v>0.17050000000000001</v>
      </c>
      <c r="G110">
        <v>110</v>
      </c>
      <c r="H110">
        <v>160</v>
      </c>
      <c r="I110">
        <v>32</v>
      </c>
      <c r="J110">
        <v>2</v>
      </c>
      <c r="K110">
        <v>44.582999999999998</v>
      </c>
    </row>
    <row r="111" spans="1:11">
      <c r="A111">
        <v>0.29570000000000002</v>
      </c>
      <c r="B111">
        <v>6.3600000000000004E-2</v>
      </c>
      <c r="C111">
        <v>3.6299999999999999E-2</v>
      </c>
      <c r="D111">
        <v>1.0200000000000001E-2</v>
      </c>
      <c r="E111">
        <v>0.38500000000000001</v>
      </c>
      <c r="F111">
        <v>0.2092</v>
      </c>
      <c r="G111">
        <v>90</v>
      </c>
      <c r="H111">
        <v>70</v>
      </c>
      <c r="I111">
        <v>30</v>
      </c>
      <c r="J111">
        <v>2</v>
      </c>
      <c r="K111">
        <v>26.613</v>
      </c>
    </row>
    <row r="112" spans="1:11">
      <c r="A112">
        <v>0.2762</v>
      </c>
      <c r="B112">
        <v>7.7899999999999997E-2</v>
      </c>
      <c r="C112">
        <v>0.10340000000000001</v>
      </c>
      <c r="D112">
        <v>0.1348</v>
      </c>
      <c r="E112">
        <v>0.16669999999999999</v>
      </c>
      <c r="F112">
        <v>0.24099999999999999</v>
      </c>
      <c r="G112">
        <v>130</v>
      </c>
      <c r="H112">
        <v>250</v>
      </c>
      <c r="I112">
        <v>32</v>
      </c>
      <c r="J112">
        <v>1</v>
      </c>
      <c r="K112">
        <v>35.905999999999999</v>
      </c>
    </row>
    <row r="113" spans="1:11">
      <c r="A113">
        <v>0.29759999999999998</v>
      </c>
      <c r="B113">
        <v>0.08</v>
      </c>
      <c r="C113">
        <v>7.5499999999999998E-2</v>
      </c>
      <c r="D113">
        <v>4.1399999999999999E-2</v>
      </c>
      <c r="E113">
        <v>0.2213</v>
      </c>
      <c r="F113">
        <v>0.28420000000000001</v>
      </c>
      <c r="G113">
        <v>90</v>
      </c>
      <c r="H113">
        <v>120</v>
      </c>
      <c r="I113">
        <v>32</v>
      </c>
      <c r="J113">
        <v>2</v>
      </c>
      <c r="K113">
        <v>26.783999999999999</v>
      </c>
    </row>
    <row r="114" spans="1:11">
      <c r="A114">
        <v>0.41560000000000002</v>
      </c>
      <c r="B114">
        <v>6.9099999999999995E-2</v>
      </c>
      <c r="C114">
        <v>0</v>
      </c>
      <c r="D114">
        <v>1.54E-2</v>
      </c>
      <c r="E114">
        <v>0.26910000000000001</v>
      </c>
      <c r="F114">
        <v>0.23080000000000001</v>
      </c>
      <c r="G114">
        <v>90</v>
      </c>
      <c r="H114">
        <v>110</v>
      </c>
      <c r="I114">
        <v>25</v>
      </c>
      <c r="J114">
        <v>2</v>
      </c>
      <c r="K114">
        <v>37.404000000000003</v>
      </c>
    </row>
    <row r="115" spans="1:11">
      <c r="A115">
        <v>0.31240000000000001</v>
      </c>
      <c r="B115">
        <v>5.74E-2</v>
      </c>
      <c r="C115">
        <v>0.18559999999999999</v>
      </c>
      <c r="D115">
        <v>0.14219999999999999</v>
      </c>
      <c r="E115">
        <v>8.0699999999999994E-2</v>
      </c>
      <c r="F115">
        <v>0.22170000000000001</v>
      </c>
      <c r="G115">
        <v>90</v>
      </c>
      <c r="H115">
        <v>90</v>
      </c>
      <c r="I115">
        <v>29</v>
      </c>
      <c r="J115">
        <v>1</v>
      </c>
      <c r="K115">
        <v>28.116</v>
      </c>
    </row>
    <row r="116" spans="1:11">
      <c r="A116">
        <v>0.43099999999999999</v>
      </c>
      <c r="B116">
        <v>0.2278</v>
      </c>
      <c r="C116">
        <v>4.8999999999999998E-3</v>
      </c>
      <c r="D116">
        <v>0.12959999999999999</v>
      </c>
      <c r="E116">
        <v>2.7099999999999999E-2</v>
      </c>
      <c r="F116">
        <v>0.1797</v>
      </c>
      <c r="G116">
        <v>70</v>
      </c>
      <c r="H116">
        <v>40</v>
      </c>
      <c r="I116">
        <v>24</v>
      </c>
      <c r="J116">
        <v>2</v>
      </c>
      <c r="K116">
        <v>30.17</v>
      </c>
    </row>
    <row r="117" spans="1:11">
      <c r="A117">
        <v>0.34370000000000001</v>
      </c>
      <c r="B117">
        <v>6.8400000000000002E-2</v>
      </c>
      <c r="C117">
        <v>0.23949999999999999</v>
      </c>
      <c r="D117">
        <v>6.6400000000000001E-2</v>
      </c>
      <c r="E117">
        <v>0.15970000000000001</v>
      </c>
      <c r="F117">
        <v>0.12230000000000001</v>
      </c>
      <c r="G117">
        <v>130</v>
      </c>
      <c r="H117">
        <v>180</v>
      </c>
      <c r="I117">
        <v>57</v>
      </c>
      <c r="J117">
        <v>1</v>
      </c>
      <c r="K117">
        <v>44.680999999999997</v>
      </c>
    </row>
    <row r="118" spans="1:11">
      <c r="A118">
        <v>0.4042</v>
      </c>
      <c r="B118">
        <v>5.45E-2</v>
      </c>
      <c r="C118">
        <v>0.27279999999999999</v>
      </c>
      <c r="D118">
        <v>7.4099999999999999E-2</v>
      </c>
      <c r="E118">
        <v>2.8000000000000001E-2</v>
      </c>
      <c r="F118">
        <v>0.16650000000000001</v>
      </c>
      <c r="G118">
        <v>90</v>
      </c>
      <c r="H118">
        <v>100</v>
      </c>
      <c r="I118">
        <v>34</v>
      </c>
      <c r="J118">
        <v>2</v>
      </c>
      <c r="K118">
        <v>36.378</v>
      </c>
    </row>
    <row r="119" spans="1:11">
      <c r="A119">
        <v>0.45419999999999999</v>
      </c>
      <c r="B119">
        <v>0.15939999999999999</v>
      </c>
      <c r="C119">
        <v>6.13E-2</v>
      </c>
      <c r="D119">
        <v>5.7799999999999997E-2</v>
      </c>
      <c r="E119">
        <v>2.2200000000000001E-2</v>
      </c>
      <c r="F119">
        <v>0.245</v>
      </c>
      <c r="G119">
        <v>60</v>
      </c>
      <c r="H119">
        <v>100</v>
      </c>
      <c r="I119">
        <v>27</v>
      </c>
      <c r="J119">
        <v>1</v>
      </c>
      <c r="K119">
        <v>27.251999999999999</v>
      </c>
    </row>
    <row r="120" spans="1:11">
      <c r="A120">
        <v>0.3216</v>
      </c>
      <c r="B120">
        <v>8.1199999999999994E-2</v>
      </c>
      <c r="C120">
        <v>8.6300000000000002E-2</v>
      </c>
      <c r="D120">
        <v>8.0699999999999994E-2</v>
      </c>
      <c r="E120">
        <v>0.16009999999999999</v>
      </c>
      <c r="F120">
        <v>0.27010000000000001</v>
      </c>
      <c r="G120">
        <v>70</v>
      </c>
      <c r="H120">
        <v>90</v>
      </c>
      <c r="I120">
        <v>33</v>
      </c>
      <c r="J120">
        <v>2</v>
      </c>
      <c r="K120">
        <v>22.512</v>
      </c>
    </row>
    <row r="121" spans="1:11">
      <c r="A121">
        <v>0.50139999999999996</v>
      </c>
      <c r="B121">
        <v>0.1507</v>
      </c>
      <c r="C121">
        <v>0.1169</v>
      </c>
      <c r="D121">
        <v>0</v>
      </c>
      <c r="E121">
        <v>0.11509999999999999</v>
      </c>
      <c r="F121">
        <v>0.11600000000000001</v>
      </c>
      <c r="G121">
        <v>50</v>
      </c>
      <c r="H121">
        <v>110</v>
      </c>
      <c r="I121">
        <v>30</v>
      </c>
      <c r="J121">
        <v>2</v>
      </c>
      <c r="K121">
        <v>25.07</v>
      </c>
    </row>
    <row r="122" spans="1:11">
      <c r="A122">
        <v>0.24879999999999999</v>
      </c>
      <c r="B122">
        <v>4.87E-2</v>
      </c>
      <c r="C122">
        <v>0.39329999999999998</v>
      </c>
      <c r="D122">
        <v>0.153</v>
      </c>
      <c r="E122">
        <v>4.7600000000000003E-2</v>
      </c>
      <c r="F122">
        <v>0.1085</v>
      </c>
      <c r="G122">
        <v>110</v>
      </c>
      <c r="H122">
        <v>160</v>
      </c>
      <c r="I122">
        <v>50</v>
      </c>
      <c r="J122">
        <v>1</v>
      </c>
      <c r="K122">
        <v>27.367999999999999</v>
      </c>
    </row>
    <row r="123" spans="1:11">
      <c r="A123">
        <v>0.45329999999999998</v>
      </c>
      <c r="B123">
        <v>0.16320000000000001</v>
      </c>
      <c r="C123">
        <v>4.53E-2</v>
      </c>
      <c r="D123">
        <v>0</v>
      </c>
      <c r="E123">
        <v>5.0299999999999997E-2</v>
      </c>
      <c r="F123">
        <v>0.28789999999999999</v>
      </c>
      <c r="G123">
        <v>70</v>
      </c>
      <c r="H123">
        <v>120</v>
      </c>
      <c r="I123">
        <v>42</v>
      </c>
      <c r="J123">
        <v>1</v>
      </c>
      <c r="K123">
        <v>31.731000000000002</v>
      </c>
    </row>
    <row r="124" spans="1:11">
      <c r="A124">
        <v>0.2205</v>
      </c>
      <c r="B124">
        <v>3.39E-2</v>
      </c>
      <c r="C124">
        <v>0.20019999999999999</v>
      </c>
      <c r="D124">
        <v>2.87E-2</v>
      </c>
      <c r="E124">
        <v>5.0799999999999998E-2</v>
      </c>
      <c r="F124">
        <v>0.46589999999999998</v>
      </c>
      <c r="G124">
        <v>160</v>
      </c>
      <c r="H124">
        <v>320</v>
      </c>
      <c r="I124">
        <v>35</v>
      </c>
      <c r="J124">
        <v>1</v>
      </c>
      <c r="K124">
        <v>35.28</v>
      </c>
    </row>
    <row r="125" spans="1:11">
      <c r="A125">
        <v>0.22489999999999999</v>
      </c>
      <c r="B125">
        <v>9.5500000000000002E-2</v>
      </c>
      <c r="C125">
        <v>0.1613</v>
      </c>
      <c r="D125">
        <v>0.17829999999999999</v>
      </c>
      <c r="E125">
        <v>0.20599999999999999</v>
      </c>
      <c r="F125">
        <v>0.13420000000000001</v>
      </c>
      <c r="G125">
        <v>70</v>
      </c>
      <c r="H125">
        <v>120</v>
      </c>
      <c r="I125">
        <v>30</v>
      </c>
      <c r="J125">
        <v>2</v>
      </c>
      <c r="K125">
        <v>15.743</v>
      </c>
    </row>
    <row r="126" spans="1:11">
      <c r="A126">
        <v>0.33889999999999998</v>
      </c>
      <c r="B126">
        <v>0.14599999999999999</v>
      </c>
      <c r="C126">
        <v>6.1600000000000002E-2</v>
      </c>
      <c r="D126">
        <v>0.1115</v>
      </c>
      <c r="E126">
        <v>0.1062</v>
      </c>
      <c r="F126">
        <v>0.23569999999999999</v>
      </c>
      <c r="G126">
        <v>90</v>
      </c>
      <c r="H126">
        <v>100</v>
      </c>
      <c r="I126">
        <v>27</v>
      </c>
      <c r="J126">
        <v>1</v>
      </c>
      <c r="K126">
        <v>30.501000000000001</v>
      </c>
    </row>
    <row r="127" spans="1:11">
      <c r="A127">
        <v>0.40560000000000002</v>
      </c>
      <c r="B127">
        <v>0.17560000000000001</v>
      </c>
      <c r="C127">
        <v>8.3000000000000004E-2</v>
      </c>
      <c r="D127">
        <v>0.20699999999999999</v>
      </c>
      <c r="E127">
        <v>0.04</v>
      </c>
      <c r="F127">
        <v>8.8800000000000004E-2</v>
      </c>
      <c r="G127">
        <v>50</v>
      </c>
      <c r="H127">
        <v>60</v>
      </c>
      <c r="I127">
        <v>21</v>
      </c>
      <c r="J127">
        <v>1</v>
      </c>
      <c r="K127">
        <v>20.28</v>
      </c>
    </row>
    <row r="128" spans="1:11">
      <c r="A128">
        <v>0.39800000000000002</v>
      </c>
      <c r="B128">
        <v>2.5999999999999999E-2</v>
      </c>
      <c r="C128">
        <v>6.2300000000000001E-2</v>
      </c>
      <c r="D128">
        <v>9.4299999999999995E-2</v>
      </c>
      <c r="E128">
        <v>1.11E-2</v>
      </c>
      <c r="F128">
        <v>0.40839999999999999</v>
      </c>
      <c r="G128">
        <v>60</v>
      </c>
      <c r="H128">
        <v>100</v>
      </c>
      <c r="I128">
        <v>19</v>
      </c>
      <c r="J128">
        <v>1</v>
      </c>
      <c r="K128">
        <v>23.88</v>
      </c>
    </row>
    <row r="129" spans="1:11">
      <c r="A129">
        <v>0.60099999999999998</v>
      </c>
      <c r="B129">
        <v>7.0199999999999999E-2</v>
      </c>
      <c r="C129">
        <v>5.4000000000000003E-3</v>
      </c>
      <c r="D129">
        <v>0</v>
      </c>
      <c r="E129">
        <v>5.21E-2</v>
      </c>
      <c r="F129">
        <v>0.27129999999999999</v>
      </c>
      <c r="G129">
        <v>40</v>
      </c>
      <c r="H129">
        <v>60</v>
      </c>
      <c r="I129">
        <v>37</v>
      </c>
      <c r="J129">
        <v>1</v>
      </c>
      <c r="K129">
        <v>24.04</v>
      </c>
    </row>
    <row r="130" spans="1:11">
      <c r="A130">
        <v>0.33639999999999998</v>
      </c>
      <c r="B130">
        <v>5.8700000000000002E-2</v>
      </c>
      <c r="C130">
        <v>0.1744</v>
      </c>
      <c r="D130">
        <v>6.3500000000000001E-2</v>
      </c>
      <c r="E130">
        <v>8.2100000000000006E-2</v>
      </c>
      <c r="F130">
        <v>0.28499999999999998</v>
      </c>
      <c r="G130">
        <v>70</v>
      </c>
      <c r="H130">
        <v>100</v>
      </c>
      <c r="I130">
        <v>31</v>
      </c>
      <c r="J130">
        <v>2</v>
      </c>
      <c r="K130">
        <v>23.547999999999998</v>
      </c>
    </row>
    <row r="131" spans="1:11">
      <c r="A131">
        <v>0.38379999999999997</v>
      </c>
      <c r="B131">
        <v>0.20530000000000001</v>
      </c>
      <c r="C131">
        <v>0.13450000000000001</v>
      </c>
      <c r="D131">
        <v>0</v>
      </c>
      <c r="E131">
        <v>1.6500000000000001E-2</v>
      </c>
      <c r="F131">
        <v>0.25979999999999998</v>
      </c>
      <c r="G131">
        <v>50</v>
      </c>
      <c r="H131">
        <v>80</v>
      </c>
      <c r="I131">
        <v>31</v>
      </c>
      <c r="J131">
        <v>1</v>
      </c>
      <c r="K131">
        <v>19.190000000000001</v>
      </c>
    </row>
    <row r="132" spans="1:11">
      <c r="A132">
        <v>0.39290000000000003</v>
      </c>
      <c r="B132">
        <v>0.1633</v>
      </c>
      <c r="C132">
        <v>4.9299999999999997E-2</v>
      </c>
      <c r="D132">
        <v>5.8200000000000002E-2</v>
      </c>
      <c r="E132">
        <v>0.15310000000000001</v>
      </c>
      <c r="F132">
        <v>0.1832</v>
      </c>
      <c r="G132">
        <v>70</v>
      </c>
      <c r="H132">
        <v>140</v>
      </c>
      <c r="I132">
        <v>28</v>
      </c>
      <c r="J132">
        <v>1</v>
      </c>
      <c r="K132">
        <v>27.503</v>
      </c>
    </row>
    <row r="133" spans="1:11">
      <c r="A133">
        <v>0.47220000000000001</v>
      </c>
      <c r="B133">
        <v>5.4899999999999997E-2</v>
      </c>
      <c r="C133">
        <v>5.79E-2</v>
      </c>
      <c r="D133">
        <v>4.8300000000000003E-2</v>
      </c>
      <c r="E133">
        <v>0.15609999999999999</v>
      </c>
      <c r="F133">
        <v>0.21060000000000001</v>
      </c>
      <c r="G133">
        <v>70</v>
      </c>
      <c r="H133">
        <v>170</v>
      </c>
      <c r="I133">
        <v>21</v>
      </c>
      <c r="J133">
        <v>1</v>
      </c>
      <c r="K133">
        <v>33.054000000000002</v>
      </c>
    </row>
    <row r="134" spans="1:11">
      <c r="A134">
        <v>0.30170000000000002</v>
      </c>
      <c r="B134">
        <v>0.1462</v>
      </c>
      <c r="C134">
        <v>5.45E-2</v>
      </c>
      <c r="D134">
        <v>9.8799999999999999E-2</v>
      </c>
      <c r="E134">
        <v>1.9E-2</v>
      </c>
      <c r="F134">
        <v>0.37990000000000002</v>
      </c>
      <c r="G134">
        <v>80</v>
      </c>
      <c r="H134">
        <v>160</v>
      </c>
      <c r="I134">
        <v>41</v>
      </c>
      <c r="J134">
        <v>1</v>
      </c>
      <c r="K134">
        <v>24.135999999999999</v>
      </c>
    </row>
    <row r="135" spans="1:11">
      <c r="A135">
        <v>0.378</v>
      </c>
      <c r="B135">
        <v>6.7100000000000007E-2</v>
      </c>
      <c r="C135">
        <v>0.21060000000000001</v>
      </c>
      <c r="D135">
        <v>0.1356</v>
      </c>
      <c r="E135">
        <v>2.24E-2</v>
      </c>
      <c r="F135">
        <v>0.18629999999999999</v>
      </c>
      <c r="G135">
        <v>80</v>
      </c>
      <c r="H135">
        <v>100</v>
      </c>
      <c r="I135">
        <v>28</v>
      </c>
      <c r="J135">
        <v>2</v>
      </c>
      <c r="K135">
        <v>30.24</v>
      </c>
    </row>
    <row r="136" spans="1:11">
      <c r="A136">
        <v>0.34770000000000001</v>
      </c>
      <c r="B136">
        <v>0.18740000000000001</v>
      </c>
      <c r="C136">
        <v>0.1114</v>
      </c>
      <c r="D136">
        <v>0.1163</v>
      </c>
      <c r="E136">
        <v>9.7299999999999998E-2</v>
      </c>
      <c r="F136">
        <v>0.14000000000000001</v>
      </c>
      <c r="G136">
        <v>70</v>
      </c>
      <c r="H136">
        <v>100</v>
      </c>
      <c r="I136">
        <v>32</v>
      </c>
      <c r="J136">
        <v>2</v>
      </c>
      <c r="K136">
        <v>24.338999999999999</v>
      </c>
    </row>
    <row r="137" spans="1:11">
      <c r="A137">
        <v>0.3629</v>
      </c>
      <c r="B137">
        <v>0.12740000000000001</v>
      </c>
      <c r="C137">
        <v>0.18479999999999999</v>
      </c>
      <c r="D137">
        <v>9.9900000000000003E-2</v>
      </c>
      <c r="E137">
        <v>3.6400000000000002E-2</v>
      </c>
      <c r="F137">
        <v>0.18859999999999999</v>
      </c>
      <c r="G137">
        <v>80</v>
      </c>
      <c r="H137">
        <v>90</v>
      </c>
      <c r="I137">
        <v>24</v>
      </c>
      <c r="J137">
        <v>2</v>
      </c>
      <c r="K137">
        <v>29.032</v>
      </c>
    </row>
    <row r="138" spans="1:11">
      <c r="A138">
        <v>0.41010000000000002</v>
      </c>
      <c r="B138">
        <v>9.2100000000000001E-2</v>
      </c>
      <c r="C138">
        <v>0.19400000000000001</v>
      </c>
      <c r="D138">
        <v>2.2100000000000002E-2</v>
      </c>
      <c r="E138">
        <v>0.19839999999999999</v>
      </c>
      <c r="F138">
        <v>8.3299999999999999E-2</v>
      </c>
      <c r="G138">
        <v>100</v>
      </c>
      <c r="H138">
        <v>100</v>
      </c>
      <c r="I138">
        <v>39</v>
      </c>
      <c r="J138">
        <v>2</v>
      </c>
      <c r="K138">
        <v>41.01</v>
      </c>
    </row>
    <row r="139" spans="1:11">
      <c r="A139">
        <v>0.36580000000000001</v>
      </c>
      <c r="B139">
        <v>8.7900000000000006E-2</v>
      </c>
      <c r="C139">
        <v>8.4199999999999997E-2</v>
      </c>
      <c r="D139">
        <v>6.6500000000000004E-2</v>
      </c>
      <c r="E139">
        <v>0.157</v>
      </c>
      <c r="F139">
        <v>0.23860000000000001</v>
      </c>
      <c r="G139">
        <v>80</v>
      </c>
      <c r="H139">
        <v>100</v>
      </c>
      <c r="I139">
        <v>49</v>
      </c>
      <c r="J139">
        <v>1</v>
      </c>
      <c r="K139">
        <v>29.263999999999999</v>
      </c>
    </row>
    <row r="140" spans="1:11">
      <c r="A140">
        <v>0.31059999999999999</v>
      </c>
      <c r="B140">
        <v>9.9299999999999999E-2</v>
      </c>
      <c r="C140">
        <v>0.13439999999999999</v>
      </c>
      <c r="D140">
        <v>0.12939999999999999</v>
      </c>
      <c r="E140">
        <v>6.6000000000000003E-2</v>
      </c>
      <c r="F140">
        <v>0.26040000000000002</v>
      </c>
      <c r="G140">
        <v>110</v>
      </c>
      <c r="H140">
        <v>110</v>
      </c>
      <c r="I140">
        <v>42</v>
      </c>
      <c r="J140">
        <v>2</v>
      </c>
      <c r="K140">
        <v>34.165999999999997</v>
      </c>
    </row>
    <row r="141" spans="1:11">
      <c r="A141">
        <v>0.4269</v>
      </c>
      <c r="B141">
        <v>7.3700000000000002E-2</v>
      </c>
      <c r="C141">
        <v>0.1353</v>
      </c>
      <c r="D141">
        <v>0.1055</v>
      </c>
      <c r="E141">
        <v>0.1154</v>
      </c>
      <c r="F141">
        <v>0.1431</v>
      </c>
      <c r="G141">
        <v>150</v>
      </c>
      <c r="H141">
        <v>180</v>
      </c>
      <c r="I141">
        <v>42</v>
      </c>
      <c r="J141">
        <v>2</v>
      </c>
      <c r="K141">
        <v>64.034999999999997</v>
      </c>
    </row>
    <row r="142" spans="1:11">
      <c r="A142">
        <v>0.54049999999999998</v>
      </c>
      <c r="B142">
        <v>0.1061</v>
      </c>
      <c r="C142">
        <v>0.12609999999999999</v>
      </c>
      <c r="D142">
        <v>2.98E-2</v>
      </c>
      <c r="E142">
        <v>8.4099999999999994E-2</v>
      </c>
      <c r="F142">
        <v>0.1134</v>
      </c>
      <c r="G142">
        <v>90</v>
      </c>
      <c r="H142">
        <v>120</v>
      </c>
      <c r="I142">
        <v>25</v>
      </c>
      <c r="J142">
        <v>2</v>
      </c>
      <c r="K142">
        <v>48.645000000000003</v>
      </c>
    </row>
    <row r="143" spans="1:11">
      <c r="A143">
        <v>0.38469999999999999</v>
      </c>
      <c r="B143">
        <v>3.9800000000000002E-2</v>
      </c>
      <c r="C143">
        <v>8.2500000000000004E-2</v>
      </c>
      <c r="D143">
        <v>0.16600000000000001</v>
      </c>
      <c r="E143">
        <v>1.6199999999999999E-2</v>
      </c>
      <c r="F143">
        <v>0.31080000000000002</v>
      </c>
      <c r="G143">
        <v>70</v>
      </c>
      <c r="H143">
        <v>130</v>
      </c>
      <c r="I143">
        <v>29</v>
      </c>
      <c r="J143">
        <v>2</v>
      </c>
      <c r="K143">
        <v>26.928999999999998</v>
      </c>
    </row>
    <row r="144" spans="1:11">
      <c r="A144">
        <v>0.39100000000000001</v>
      </c>
      <c r="B144">
        <v>3.15E-2</v>
      </c>
      <c r="C144">
        <v>0.1731</v>
      </c>
      <c r="D144">
        <v>7.0900000000000005E-2</v>
      </c>
      <c r="E144">
        <v>0.14330000000000001</v>
      </c>
      <c r="F144">
        <v>0.19020000000000001</v>
      </c>
      <c r="G144">
        <v>100</v>
      </c>
      <c r="H144">
        <v>130</v>
      </c>
      <c r="I144">
        <v>45</v>
      </c>
      <c r="J144">
        <v>2</v>
      </c>
      <c r="K144">
        <v>39.1</v>
      </c>
    </row>
    <row r="145" spans="1:11">
      <c r="A145">
        <v>0.30649999999999999</v>
      </c>
      <c r="B145">
        <v>5.3199999999999997E-2</v>
      </c>
      <c r="C145">
        <v>0.114</v>
      </c>
      <c r="D145">
        <v>0</v>
      </c>
      <c r="E145">
        <v>0.42630000000000001</v>
      </c>
      <c r="F145">
        <v>0.10009999999999999</v>
      </c>
      <c r="G145">
        <v>150</v>
      </c>
      <c r="H145">
        <v>140</v>
      </c>
      <c r="I145">
        <v>53</v>
      </c>
      <c r="J145">
        <v>2</v>
      </c>
      <c r="K145">
        <v>45.975000000000001</v>
      </c>
    </row>
    <row r="146" spans="1:11">
      <c r="A146">
        <v>0.49990000000000001</v>
      </c>
      <c r="B146">
        <v>0.1236</v>
      </c>
      <c r="C146">
        <v>9.8500000000000004E-2</v>
      </c>
      <c r="D146">
        <v>0</v>
      </c>
      <c r="E146">
        <v>9.4299999999999995E-2</v>
      </c>
      <c r="F146">
        <v>0.1837</v>
      </c>
      <c r="G146">
        <v>70</v>
      </c>
      <c r="H146">
        <v>130</v>
      </c>
      <c r="I146">
        <v>36</v>
      </c>
      <c r="J146">
        <v>1</v>
      </c>
      <c r="K146">
        <v>34.993000000000002</v>
      </c>
    </row>
    <row r="147" spans="1:11">
      <c r="A147">
        <v>0.3992</v>
      </c>
      <c r="B147">
        <v>3.2500000000000001E-2</v>
      </c>
      <c r="C147">
        <v>4.4699999999999997E-2</v>
      </c>
      <c r="D147">
        <v>0.25269999999999998</v>
      </c>
      <c r="E147">
        <v>1.2E-2</v>
      </c>
      <c r="F147">
        <v>0.25879999999999997</v>
      </c>
      <c r="G147">
        <v>60</v>
      </c>
      <c r="H147">
        <v>90</v>
      </c>
      <c r="I147">
        <v>52</v>
      </c>
      <c r="J147">
        <v>1</v>
      </c>
      <c r="K147">
        <v>23.952000000000002</v>
      </c>
    </row>
    <row r="148" spans="1:11">
      <c r="A148">
        <v>0.2944</v>
      </c>
      <c r="B148">
        <v>9.4500000000000001E-2</v>
      </c>
      <c r="C148">
        <v>1.67E-2</v>
      </c>
      <c r="D148">
        <v>7.5499999999999998E-2</v>
      </c>
      <c r="E148">
        <v>0.1769</v>
      </c>
      <c r="F148">
        <v>0.34210000000000002</v>
      </c>
      <c r="G148">
        <v>100</v>
      </c>
      <c r="H148">
        <v>170</v>
      </c>
      <c r="I148">
        <v>31</v>
      </c>
      <c r="J148">
        <v>2</v>
      </c>
      <c r="K148">
        <v>29.44</v>
      </c>
    </row>
    <row r="149" spans="1:11">
      <c r="A149">
        <v>0.45219999999999999</v>
      </c>
      <c r="B149">
        <v>9.8100000000000007E-2</v>
      </c>
      <c r="C149">
        <v>0.14399999999999999</v>
      </c>
      <c r="D149">
        <v>0</v>
      </c>
      <c r="E149">
        <v>4.1799999999999997E-2</v>
      </c>
      <c r="F149">
        <v>0.26379999999999998</v>
      </c>
      <c r="G149">
        <v>70</v>
      </c>
      <c r="H149">
        <v>80</v>
      </c>
      <c r="I149">
        <v>53</v>
      </c>
      <c r="J149">
        <v>2</v>
      </c>
      <c r="K149">
        <v>31.654</v>
      </c>
    </row>
    <row r="150" spans="1:11">
      <c r="A150">
        <v>0.2772</v>
      </c>
      <c r="B150">
        <v>0.11260000000000001</v>
      </c>
      <c r="C150">
        <v>0.2382</v>
      </c>
      <c r="D150">
        <v>6.3899999999999998E-2</v>
      </c>
      <c r="E150">
        <v>2.3699999999999999E-2</v>
      </c>
      <c r="F150">
        <v>0.2843</v>
      </c>
      <c r="G150">
        <v>50</v>
      </c>
      <c r="H150">
        <v>160</v>
      </c>
      <c r="I150">
        <v>27</v>
      </c>
      <c r="J150">
        <v>1</v>
      </c>
      <c r="K150">
        <v>13.86</v>
      </c>
    </row>
    <row r="151" spans="1:11">
      <c r="A151">
        <v>0.3962</v>
      </c>
      <c r="B151">
        <v>0.1057</v>
      </c>
      <c r="C151">
        <v>1.26E-2</v>
      </c>
      <c r="D151">
        <v>0.2099</v>
      </c>
      <c r="E151">
        <v>4.24E-2</v>
      </c>
      <c r="F151">
        <v>0.23319999999999999</v>
      </c>
      <c r="G151">
        <v>70</v>
      </c>
      <c r="H151">
        <v>170</v>
      </c>
      <c r="I151">
        <v>33</v>
      </c>
      <c r="J151">
        <v>2</v>
      </c>
      <c r="K151">
        <v>27.734000000000002</v>
      </c>
    </row>
    <row r="152" spans="1:11">
      <c r="A152">
        <v>0.26100000000000001</v>
      </c>
      <c r="B152">
        <v>0.1012</v>
      </c>
      <c r="C152">
        <v>0.12970000000000001</v>
      </c>
      <c r="D152">
        <v>9.2299999999999993E-2</v>
      </c>
      <c r="E152">
        <v>9.06E-2</v>
      </c>
      <c r="F152">
        <v>0.32519999999999999</v>
      </c>
      <c r="G152">
        <v>130</v>
      </c>
      <c r="H152">
        <v>130</v>
      </c>
      <c r="I152">
        <v>49</v>
      </c>
      <c r="J152">
        <v>1</v>
      </c>
      <c r="K152">
        <v>33.93</v>
      </c>
    </row>
    <row r="153" spans="1:11">
      <c r="A153">
        <v>0.28070000000000001</v>
      </c>
      <c r="B153">
        <v>6.1400000000000003E-2</v>
      </c>
      <c r="C153">
        <v>0.30819999999999997</v>
      </c>
      <c r="D153">
        <v>1.4800000000000001E-2</v>
      </c>
      <c r="E153">
        <v>0.1399</v>
      </c>
      <c r="F153">
        <v>0.19500000000000001</v>
      </c>
      <c r="G153">
        <v>90</v>
      </c>
      <c r="H153">
        <v>190</v>
      </c>
      <c r="I153">
        <v>33</v>
      </c>
      <c r="J153">
        <v>2</v>
      </c>
      <c r="K153">
        <v>25.263000000000002</v>
      </c>
    </row>
    <row r="154" spans="1:11">
      <c r="A154">
        <v>0.43990000000000001</v>
      </c>
      <c r="B154">
        <v>0.16550000000000001</v>
      </c>
      <c r="C154">
        <v>0</v>
      </c>
      <c r="D154">
        <v>8.6800000000000002E-2</v>
      </c>
      <c r="E154">
        <v>0.10680000000000001</v>
      </c>
      <c r="F154">
        <v>0.2011</v>
      </c>
      <c r="G154">
        <v>70</v>
      </c>
      <c r="H154">
        <v>240</v>
      </c>
      <c r="I154">
        <v>38</v>
      </c>
      <c r="J154">
        <v>1</v>
      </c>
      <c r="K154">
        <v>30.792999999999999</v>
      </c>
    </row>
    <row r="155" spans="1:11">
      <c r="A155">
        <v>0.19450000000000001</v>
      </c>
      <c r="B155">
        <v>8.9300000000000004E-2</v>
      </c>
      <c r="C155">
        <v>4.5199999999999997E-2</v>
      </c>
      <c r="D155">
        <v>0.1071</v>
      </c>
      <c r="E155">
        <v>0.11360000000000001</v>
      </c>
      <c r="F155">
        <v>0.45040000000000002</v>
      </c>
      <c r="G155">
        <v>100</v>
      </c>
      <c r="H155">
        <v>200</v>
      </c>
      <c r="I155">
        <v>41</v>
      </c>
      <c r="J155">
        <v>1</v>
      </c>
      <c r="K155">
        <v>19.45</v>
      </c>
    </row>
    <row r="156" spans="1:11">
      <c r="A156">
        <v>0.57010000000000005</v>
      </c>
      <c r="B156">
        <v>0.16189999999999999</v>
      </c>
      <c r="C156">
        <v>4.0000000000000002E-4</v>
      </c>
      <c r="D156">
        <v>2.3E-3</v>
      </c>
      <c r="E156">
        <v>0.1338</v>
      </c>
      <c r="F156">
        <v>0.13150000000000001</v>
      </c>
      <c r="G156">
        <v>60</v>
      </c>
      <c r="H156">
        <v>130</v>
      </c>
      <c r="I156">
        <v>34</v>
      </c>
      <c r="J156">
        <v>2</v>
      </c>
      <c r="K156">
        <v>34.206000000000003</v>
      </c>
    </row>
    <row r="157" spans="1:11">
      <c r="A157">
        <v>0.43980000000000002</v>
      </c>
      <c r="B157">
        <v>7.3999999999999996E-2</v>
      </c>
      <c r="C157">
        <v>1.34E-2</v>
      </c>
      <c r="D157">
        <v>0</v>
      </c>
      <c r="E157">
        <v>0.13489999999999999</v>
      </c>
      <c r="F157">
        <v>0.33789999999999998</v>
      </c>
      <c r="G157">
        <v>80</v>
      </c>
      <c r="H157">
        <v>140</v>
      </c>
      <c r="I157">
        <v>36</v>
      </c>
      <c r="J157">
        <v>2</v>
      </c>
      <c r="K157">
        <v>35.183999999999997</v>
      </c>
    </row>
    <row r="158" spans="1:11">
      <c r="A158">
        <v>0.35899999999999999</v>
      </c>
      <c r="B158">
        <v>3.6900000000000002E-2</v>
      </c>
      <c r="C158">
        <v>0.17469999999999999</v>
      </c>
      <c r="D158">
        <v>7.7100000000000002E-2</v>
      </c>
      <c r="E158">
        <v>0.18479999999999999</v>
      </c>
      <c r="F158">
        <v>0.16739999999999999</v>
      </c>
      <c r="G158">
        <v>230</v>
      </c>
      <c r="H158">
        <v>230</v>
      </c>
      <c r="I158">
        <v>47</v>
      </c>
      <c r="J158">
        <v>1</v>
      </c>
      <c r="K158">
        <v>82.57</v>
      </c>
    </row>
    <row r="159" spans="1:11">
      <c r="A159">
        <v>0.36359999999999998</v>
      </c>
      <c r="B159">
        <v>4.3700000000000003E-2</v>
      </c>
      <c r="C159">
        <v>3.1899999999999998E-2</v>
      </c>
      <c r="D159">
        <v>0.15590000000000001</v>
      </c>
      <c r="E159">
        <v>0.1618</v>
      </c>
      <c r="F159">
        <v>0.24310000000000001</v>
      </c>
      <c r="G159">
        <v>90</v>
      </c>
      <c r="H159">
        <v>130</v>
      </c>
      <c r="I159">
        <v>25</v>
      </c>
      <c r="J159">
        <v>2</v>
      </c>
      <c r="K159">
        <v>32.723999999999997</v>
      </c>
    </row>
    <row r="160" spans="1:11">
      <c r="A160">
        <v>0.59819999999999995</v>
      </c>
      <c r="B160">
        <v>0.13969999999999999</v>
      </c>
      <c r="C160">
        <v>0.14649999999999999</v>
      </c>
      <c r="D160">
        <v>3.6499999999999998E-2</v>
      </c>
      <c r="E160">
        <v>2.35E-2</v>
      </c>
      <c r="F160">
        <v>5.5599999999999997E-2</v>
      </c>
      <c r="G160">
        <v>60</v>
      </c>
      <c r="H160">
        <v>120</v>
      </c>
      <c r="I160">
        <v>35</v>
      </c>
      <c r="J160">
        <v>2</v>
      </c>
      <c r="K160">
        <v>35.892000000000003</v>
      </c>
    </row>
    <row r="161" spans="1:11">
      <c r="A161">
        <v>0.18509999999999999</v>
      </c>
      <c r="B161">
        <v>6.9500000000000006E-2</v>
      </c>
      <c r="C161">
        <v>3.1699999999999999E-2</v>
      </c>
      <c r="D161">
        <v>6.7799999999999999E-2</v>
      </c>
      <c r="E161">
        <v>0.1135</v>
      </c>
      <c r="F161">
        <v>0.53239999999999998</v>
      </c>
      <c r="G161">
        <v>90</v>
      </c>
      <c r="H161">
        <v>110</v>
      </c>
      <c r="I161">
        <v>41</v>
      </c>
      <c r="J161">
        <v>1</v>
      </c>
      <c r="K161">
        <v>16.658999999999999</v>
      </c>
    </row>
    <row r="162" spans="1:11">
      <c r="A162">
        <v>0.32300000000000001</v>
      </c>
      <c r="B162">
        <v>8.4699999999999998E-2</v>
      </c>
      <c r="C162">
        <v>1.0999999999999999E-2</v>
      </c>
      <c r="D162">
        <v>0.1004</v>
      </c>
      <c r="E162">
        <v>0.29480000000000001</v>
      </c>
      <c r="F162">
        <v>0.18609999999999999</v>
      </c>
      <c r="G162">
        <v>80</v>
      </c>
      <c r="H162">
        <v>140</v>
      </c>
      <c r="I162">
        <v>26</v>
      </c>
      <c r="J162">
        <v>1</v>
      </c>
      <c r="K162">
        <v>25.84</v>
      </c>
    </row>
    <row r="163" spans="1:11">
      <c r="A163">
        <v>0.54879999999999995</v>
      </c>
      <c r="B163">
        <v>0.1076</v>
      </c>
      <c r="C163">
        <v>0</v>
      </c>
      <c r="D163">
        <v>0</v>
      </c>
      <c r="E163">
        <v>8.8499999999999995E-2</v>
      </c>
      <c r="F163">
        <v>0.25509999999999999</v>
      </c>
      <c r="G163">
        <v>60</v>
      </c>
      <c r="H163">
        <v>80</v>
      </c>
      <c r="I163">
        <v>32</v>
      </c>
      <c r="J163">
        <v>2</v>
      </c>
      <c r="K163">
        <v>32.927999999999997</v>
      </c>
    </row>
    <row r="164" spans="1:11">
      <c r="A164">
        <v>0.32800000000000001</v>
      </c>
      <c r="B164">
        <v>0.1249</v>
      </c>
      <c r="C164">
        <v>9.8100000000000007E-2</v>
      </c>
      <c r="D164">
        <v>0.16589999999999999</v>
      </c>
      <c r="E164">
        <v>5.6500000000000002E-2</v>
      </c>
      <c r="F164">
        <v>0.22650000000000001</v>
      </c>
      <c r="G164">
        <v>70</v>
      </c>
      <c r="H164">
        <v>150</v>
      </c>
      <c r="I164">
        <v>38</v>
      </c>
      <c r="J164">
        <v>2</v>
      </c>
      <c r="K164">
        <v>22.96</v>
      </c>
    </row>
    <row r="165" spans="1:11">
      <c r="A165">
        <v>0.27089999999999997</v>
      </c>
      <c r="B165">
        <v>8.4500000000000006E-2</v>
      </c>
      <c r="C165">
        <v>8.72E-2</v>
      </c>
      <c r="D165">
        <v>0.26779999999999998</v>
      </c>
      <c r="E165">
        <v>7.2599999999999998E-2</v>
      </c>
      <c r="F165">
        <v>0.21690000000000001</v>
      </c>
      <c r="G165">
        <v>70</v>
      </c>
      <c r="H165">
        <v>120</v>
      </c>
      <c r="I165">
        <v>34</v>
      </c>
      <c r="J165">
        <v>1</v>
      </c>
      <c r="K165">
        <v>18.963000000000001</v>
      </c>
    </row>
    <row r="166" spans="1:11">
      <c r="A166">
        <v>0.25990000000000002</v>
      </c>
      <c r="B166">
        <v>9.9500000000000005E-2</v>
      </c>
      <c r="C166">
        <v>0.13100000000000001</v>
      </c>
      <c r="D166">
        <v>0</v>
      </c>
      <c r="E166">
        <v>0.13950000000000001</v>
      </c>
      <c r="F166">
        <v>0.37009999999999998</v>
      </c>
      <c r="G166">
        <v>130</v>
      </c>
      <c r="H166">
        <v>260</v>
      </c>
      <c r="I166">
        <v>48</v>
      </c>
      <c r="J166">
        <v>2</v>
      </c>
      <c r="K166">
        <v>33.786999999999999</v>
      </c>
    </row>
    <row r="167" spans="1:11">
      <c r="A167">
        <v>0.34970000000000001</v>
      </c>
      <c r="B167">
        <v>7.5399999999999995E-2</v>
      </c>
      <c r="C167">
        <v>0.1583</v>
      </c>
      <c r="D167">
        <v>5.4100000000000002E-2</v>
      </c>
      <c r="E167">
        <v>0.15179999999999999</v>
      </c>
      <c r="F167">
        <v>0.21060000000000001</v>
      </c>
      <c r="G167">
        <v>60</v>
      </c>
      <c r="H167">
        <v>80</v>
      </c>
      <c r="I167">
        <v>24</v>
      </c>
      <c r="J167">
        <v>1</v>
      </c>
      <c r="K167">
        <v>20.981999999999999</v>
      </c>
    </row>
    <row r="168" spans="1:11">
      <c r="A168">
        <v>0.34839999999999999</v>
      </c>
      <c r="B168">
        <v>9.6500000000000002E-2</v>
      </c>
      <c r="C168">
        <v>3.7100000000000001E-2</v>
      </c>
      <c r="D168">
        <v>0.19639999999999999</v>
      </c>
      <c r="E168">
        <v>1.7299999999999999E-2</v>
      </c>
      <c r="F168">
        <v>0.30430000000000001</v>
      </c>
      <c r="G168">
        <v>110</v>
      </c>
      <c r="H168">
        <v>280</v>
      </c>
      <c r="I168">
        <v>32</v>
      </c>
      <c r="J168">
        <v>2</v>
      </c>
      <c r="K168">
        <v>38.323999999999998</v>
      </c>
    </row>
    <row r="169" spans="1:11">
      <c r="A169">
        <v>0.32379999999999998</v>
      </c>
      <c r="B169">
        <v>8.7300000000000003E-2</v>
      </c>
      <c r="C169">
        <v>0.1875</v>
      </c>
      <c r="D169">
        <v>5.8999999999999997E-2</v>
      </c>
      <c r="E169">
        <v>9.9400000000000002E-2</v>
      </c>
      <c r="F169">
        <v>0.24299999999999999</v>
      </c>
      <c r="G169">
        <v>120</v>
      </c>
      <c r="H169">
        <v>120</v>
      </c>
      <c r="I169">
        <v>36</v>
      </c>
      <c r="J169">
        <v>2</v>
      </c>
      <c r="K169">
        <v>38.856000000000002</v>
      </c>
    </row>
    <row r="170" spans="1:11">
      <c r="A170">
        <v>0.49540000000000001</v>
      </c>
      <c r="B170">
        <v>0.1153</v>
      </c>
      <c r="C170">
        <v>6.4500000000000002E-2</v>
      </c>
      <c r="D170">
        <v>0.18709999999999999</v>
      </c>
      <c r="E170">
        <v>4.3099999999999999E-2</v>
      </c>
      <c r="F170">
        <v>9.4700000000000006E-2</v>
      </c>
      <c r="G170">
        <v>120</v>
      </c>
      <c r="H170">
        <v>100</v>
      </c>
      <c r="I170">
        <v>40</v>
      </c>
      <c r="J170">
        <v>2</v>
      </c>
      <c r="K170">
        <v>59.448</v>
      </c>
    </row>
    <row r="171" spans="1:11">
      <c r="A171">
        <v>0.43219999999999997</v>
      </c>
      <c r="B171">
        <v>0.1055</v>
      </c>
      <c r="C171">
        <v>0.1037</v>
      </c>
      <c r="D171">
        <v>7.5700000000000003E-2</v>
      </c>
      <c r="E171">
        <v>0.19339999999999999</v>
      </c>
      <c r="F171">
        <v>8.9499999999999996E-2</v>
      </c>
      <c r="G171">
        <v>80</v>
      </c>
      <c r="H171">
        <v>120</v>
      </c>
      <c r="I171">
        <v>31</v>
      </c>
      <c r="J171">
        <v>2</v>
      </c>
      <c r="K171">
        <v>34.576000000000001</v>
      </c>
    </row>
    <row r="172" spans="1:11">
      <c r="A172">
        <v>0.2263</v>
      </c>
      <c r="B172">
        <v>8.1699999999999995E-2</v>
      </c>
      <c r="C172">
        <v>6.3899999999999998E-2</v>
      </c>
      <c r="D172">
        <v>0.13650000000000001</v>
      </c>
      <c r="E172">
        <v>0.30320000000000003</v>
      </c>
      <c r="F172">
        <v>0.18840000000000001</v>
      </c>
      <c r="G172">
        <v>150</v>
      </c>
      <c r="H172">
        <v>160</v>
      </c>
      <c r="I172">
        <v>33</v>
      </c>
      <c r="J172">
        <v>2</v>
      </c>
      <c r="K172">
        <v>33.945</v>
      </c>
    </row>
    <row r="173" spans="1:11">
      <c r="A173">
        <v>0.37940000000000002</v>
      </c>
      <c r="B173">
        <v>0.1053</v>
      </c>
      <c r="C173">
        <v>0.16470000000000001</v>
      </c>
      <c r="D173">
        <v>8.09E-2</v>
      </c>
      <c r="E173">
        <v>9.9599999999999994E-2</v>
      </c>
      <c r="F173">
        <v>0.17019999999999999</v>
      </c>
      <c r="G173">
        <v>130</v>
      </c>
      <c r="H173">
        <v>170</v>
      </c>
      <c r="I173">
        <v>33</v>
      </c>
      <c r="J173">
        <v>1</v>
      </c>
      <c r="K173">
        <v>49.322000000000003</v>
      </c>
    </row>
    <row r="174" spans="1:11">
      <c r="A174">
        <v>0.49049999999999999</v>
      </c>
      <c r="B174">
        <v>0.1009</v>
      </c>
      <c r="C174">
        <v>9.5200000000000007E-2</v>
      </c>
      <c r="D174">
        <v>7.6E-3</v>
      </c>
      <c r="E174">
        <v>4.5699999999999998E-2</v>
      </c>
      <c r="F174">
        <v>0.26019999999999999</v>
      </c>
      <c r="G174">
        <v>70</v>
      </c>
      <c r="H174">
        <v>100</v>
      </c>
      <c r="I174">
        <v>40</v>
      </c>
      <c r="J174">
        <v>2</v>
      </c>
      <c r="K174">
        <v>34.335000000000001</v>
      </c>
    </row>
    <row r="175" spans="1:11">
      <c r="A175">
        <v>0.41930000000000001</v>
      </c>
      <c r="B175">
        <v>7.6999999999999999E-2</v>
      </c>
      <c r="C175">
        <v>0.1739</v>
      </c>
      <c r="D175">
        <v>2.69E-2</v>
      </c>
      <c r="E175">
        <v>0.1293</v>
      </c>
      <c r="F175">
        <v>0.1736</v>
      </c>
      <c r="G175">
        <v>90</v>
      </c>
      <c r="H175">
        <v>160</v>
      </c>
      <c r="I175">
        <v>37</v>
      </c>
      <c r="J175">
        <v>2</v>
      </c>
      <c r="K175">
        <v>37.737000000000002</v>
      </c>
    </row>
    <row r="176" spans="1:11">
      <c r="A176">
        <v>0.35389999999999999</v>
      </c>
      <c r="B176">
        <v>0.16109999999999999</v>
      </c>
      <c r="C176">
        <v>7.1400000000000005E-2</v>
      </c>
      <c r="D176">
        <v>1.2999999999999999E-3</v>
      </c>
      <c r="E176">
        <v>0.16200000000000001</v>
      </c>
      <c r="F176">
        <v>0.25030000000000002</v>
      </c>
      <c r="G176">
        <v>100</v>
      </c>
      <c r="H176">
        <v>150</v>
      </c>
      <c r="I176">
        <v>48</v>
      </c>
      <c r="J176">
        <v>2</v>
      </c>
      <c r="K176">
        <v>35.39</v>
      </c>
    </row>
    <row r="177" spans="1:11">
      <c r="A177">
        <v>0.2525</v>
      </c>
      <c r="B177">
        <v>8.7599999999999997E-2</v>
      </c>
      <c r="C177">
        <v>7.17E-2</v>
      </c>
      <c r="D177">
        <v>9.5100000000000004E-2</v>
      </c>
      <c r="E177">
        <v>0.19209999999999999</v>
      </c>
      <c r="F177">
        <v>0.3009</v>
      </c>
      <c r="G177">
        <v>80</v>
      </c>
      <c r="H177">
        <v>120</v>
      </c>
      <c r="I177">
        <v>41</v>
      </c>
      <c r="J177">
        <v>1</v>
      </c>
      <c r="K177">
        <v>20.2</v>
      </c>
    </row>
    <row r="178" spans="1:11">
      <c r="A178">
        <v>0.35420000000000001</v>
      </c>
      <c r="B178">
        <v>2.5999999999999999E-2</v>
      </c>
      <c r="C178">
        <v>0.2046</v>
      </c>
      <c r="D178">
        <v>1.06E-2</v>
      </c>
      <c r="E178">
        <v>2.1899999999999999E-2</v>
      </c>
      <c r="F178">
        <v>0.38269999999999998</v>
      </c>
      <c r="G178">
        <v>100</v>
      </c>
      <c r="H178">
        <v>80</v>
      </c>
      <c r="I178">
        <v>55</v>
      </c>
      <c r="J178">
        <v>2</v>
      </c>
      <c r="K178">
        <v>35.42</v>
      </c>
    </row>
    <row r="179" spans="1:11">
      <c r="A179">
        <v>0.49540000000000001</v>
      </c>
      <c r="B179">
        <v>3.95E-2</v>
      </c>
      <c r="C179">
        <v>4.99E-2</v>
      </c>
      <c r="D179">
        <v>4.7199999999999999E-2</v>
      </c>
      <c r="E179">
        <v>0.15160000000000001</v>
      </c>
      <c r="F179">
        <v>0.21640000000000001</v>
      </c>
      <c r="G179">
        <v>170</v>
      </c>
      <c r="H179">
        <v>290</v>
      </c>
      <c r="I179">
        <v>31</v>
      </c>
      <c r="J179">
        <v>2</v>
      </c>
      <c r="K179">
        <v>84.218000000000004</v>
      </c>
    </row>
    <row r="180" spans="1:11">
      <c r="A180">
        <v>0.25340000000000001</v>
      </c>
      <c r="B180">
        <v>0.16769999999999999</v>
      </c>
      <c r="C180">
        <v>2.5999999999999999E-2</v>
      </c>
      <c r="D180">
        <v>0.16089999999999999</v>
      </c>
      <c r="E180">
        <v>5.6000000000000001E-2</v>
      </c>
      <c r="F180">
        <v>0.33589999999999998</v>
      </c>
      <c r="G180">
        <v>100</v>
      </c>
      <c r="H180">
        <v>230</v>
      </c>
      <c r="I180">
        <v>37</v>
      </c>
      <c r="J180">
        <v>2</v>
      </c>
      <c r="K180">
        <v>25.34</v>
      </c>
    </row>
    <row r="181" spans="1:11">
      <c r="A181">
        <v>0.4168</v>
      </c>
      <c r="B181">
        <v>0.12809999999999999</v>
      </c>
      <c r="C181">
        <v>9.7000000000000003E-2</v>
      </c>
      <c r="D181">
        <v>1.2E-2</v>
      </c>
      <c r="E181">
        <v>6.1000000000000004E-3</v>
      </c>
      <c r="F181">
        <v>0.34</v>
      </c>
      <c r="G181">
        <v>80</v>
      </c>
      <c r="H181">
        <v>110</v>
      </c>
      <c r="I181">
        <v>37</v>
      </c>
      <c r="J181">
        <v>2</v>
      </c>
      <c r="K181">
        <v>33.344000000000001</v>
      </c>
    </row>
    <row r="182" spans="1:11">
      <c r="A182">
        <v>0.27110000000000001</v>
      </c>
      <c r="B182">
        <v>5.3100000000000001E-2</v>
      </c>
      <c r="C182">
        <v>5.9900000000000002E-2</v>
      </c>
      <c r="D182">
        <v>0.24399999999999999</v>
      </c>
      <c r="E182">
        <v>0.11210000000000001</v>
      </c>
      <c r="F182">
        <v>0.25979999999999998</v>
      </c>
      <c r="G182">
        <v>80</v>
      </c>
      <c r="H182">
        <v>90</v>
      </c>
      <c r="I182">
        <v>24</v>
      </c>
      <c r="J182">
        <v>1</v>
      </c>
      <c r="K182">
        <v>21.687999999999999</v>
      </c>
    </row>
    <row r="183" spans="1:11">
      <c r="A183">
        <v>0.36520000000000002</v>
      </c>
      <c r="B183">
        <v>0.1704</v>
      </c>
      <c r="C183">
        <v>8.0600000000000005E-2</v>
      </c>
      <c r="D183">
        <v>0</v>
      </c>
      <c r="E183">
        <v>0.13619999999999999</v>
      </c>
      <c r="F183">
        <v>0.24759999999999999</v>
      </c>
      <c r="G183">
        <v>80</v>
      </c>
      <c r="H183">
        <v>130</v>
      </c>
      <c r="I183">
        <v>34</v>
      </c>
      <c r="J183">
        <v>2</v>
      </c>
      <c r="K183">
        <v>29.216000000000001</v>
      </c>
    </row>
    <row r="184" spans="1:11">
      <c r="A184">
        <v>0.25240000000000001</v>
      </c>
      <c r="B184">
        <v>0.33350000000000002</v>
      </c>
      <c r="C184">
        <v>8.6099999999999996E-2</v>
      </c>
      <c r="D184">
        <v>9.7000000000000003E-3</v>
      </c>
      <c r="E184">
        <v>0.1072</v>
      </c>
      <c r="F184">
        <v>0.2112</v>
      </c>
      <c r="G184">
        <v>180</v>
      </c>
      <c r="H184">
        <v>280</v>
      </c>
      <c r="I184">
        <v>40</v>
      </c>
      <c r="J184">
        <v>2</v>
      </c>
      <c r="K184">
        <v>45.432000000000002</v>
      </c>
    </row>
    <row r="185" spans="1:11">
      <c r="A185">
        <v>0.31180000000000002</v>
      </c>
      <c r="B185">
        <v>4.6899999999999997E-2</v>
      </c>
      <c r="C185">
        <v>0.1077</v>
      </c>
      <c r="D185">
        <v>6.7999999999999996E-3</v>
      </c>
      <c r="E185">
        <v>0.3952</v>
      </c>
      <c r="F185">
        <v>0.13150000000000001</v>
      </c>
      <c r="G185">
        <v>220</v>
      </c>
      <c r="H185">
        <v>220</v>
      </c>
      <c r="I185">
        <v>33</v>
      </c>
      <c r="J185">
        <v>1</v>
      </c>
      <c r="K185">
        <v>68.596000000000004</v>
      </c>
    </row>
    <row r="186" spans="1:11">
      <c r="A186">
        <v>0.50080000000000002</v>
      </c>
      <c r="B186">
        <v>8.0399999999999999E-2</v>
      </c>
      <c r="C186">
        <v>0.18229999999999999</v>
      </c>
      <c r="D186">
        <v>8.9599999999999999E-2</v>
      </c>
      <c r="E186">
        <v>5.45E-2</v>
      </c>
      <c r="F186">
        <v>9.2499999999999999E-2</v>
      </c>
      <c r="G186">
        <v>80</v>
      </c>
      <c r="H186">
        <v>120</v>
      </c>
      <c r="I186">
        <v>47</v>
      </c>
      <c r="J186">
        <v>2</v>
      </c>
      <c r="K186">
        <v>40.064</v>
      </c>
    </row>
    <row r="187" spans="1:11">
      <c r="A187">
        <v>0.39319999999999999</v>
      </c>
      <c r="B187">
        <v>0.1361</v>
      </c>
      <c r="C187">
        <v>0.1086</v>
      </c>
      <c r="D187">
        <v>9.7299999999999998E-2</v>
      </c>
      <c r="E187">
        <v>6.2799999999999995E-2</v>
      </c>
      <c r="F187">
        <v>0.2019</v>
      </c>
      <c r="G187">
        <v>110</v>
      </c>
      <c r="H187">
        <v>190</v>
      </c>
      <c r="I187">
        <v>43</v>
      </c>
      <c r="J187">
        <v>2</v>
      </c>
      <c r="K187">
        <v>43.252000000000002</v>
      </c>
    </row>
    <row r="188" spans="1:11">
      <c r="A188">
        <v>0.42220000000000002</v>
      </c>
      <c r="B188">
        <v>0.10580000000000001</v>
      </c>
      <c r="C188">
        <v>8.8300000000000003E-2</v>
      </c>
      <c r="D188">
        <v>0</v>
      </c>
      <c r="E188">
        <v>0.19919999999999999</v>
      </c>
      <c r="F188">
        <v>0.1845</v>
      </c>
      <c r="G188">
        <v>90</v>
      </c>
      <c r="H188">
        <v>140</v>
      </c>
      <c r="I188">
        <v>26</v>
      </c>
      <c r="J188">
        <v>2</v>
      </c>
      <c r="K188">
        <v>37.997999999999998</v>
      </c>
    </row>
    <row r="189" spans="1:11">
      <c r="A189">
        <v>0.29349999999999998</v>
      </c>
      <c r="B189">
        <v>4.9799999999999997E-2</v>
      </c>
      <c r="C189">
        <v>5.0999999999999997E-2</v>
      </c>
      <c r="D189">
        <v>2.6100000000000002E-2</v>
      </c>
      <c r="E189">
        <v>0.39639999999999997</v>
      </c>
      <c r="F189">
        <v>0.1832</v>
      </c>
      <c r="G189">
        <v>110</v>
      </c>
      <c r="H189">
        <v>120</v>
      </c>
      <c r="I189">
        <v>36</v>
      </c>
      <c r="J189">
        <v>2</v>
      </c>
      <c r="K189">
        <v>32.284999999999997</v>
      </c>
    </row>
    <row r="190" spans="1:11">
      <c r="A190">
        <v>0.28289999999999998</v>
      </c>
      <c r="B190">
        <v>5.8599999999999999E-2</v>
      </c>
      <c r="C190">
        <v>0.15190000000000001</v>
      </c>
      <c r="D190">
        <v>0.1148</v>
      </c>
      <c r="E190">
        <v>0.10580000000000001</v>
      </c>
      <c r="F190">
        <v>0.28589999999999999</v>
      </c>
      <c r="G190">
        <v>120</v>
      </c>
      <c r="H190">
        <v>120</v>
      </c>
      <c r="I190">
        <v>35</v>
      </c>
      <c r="J190">
        <v>2</v>
      </c>
      <c r="K190">
        <v>33.948</v>
      </c>
    </row>
    <row r="191" spans="1:11">
      <c r="A191">
        <v>0.30640000000000001</v>
      </c>
      <c r="B191">
        <v>0.21279999999999999</v>
      </c>
      <c r="C191">
        <v>3.9800000000000002E-2</v>
      </c>
      <c r="D191">
        <v>0.13719999999999999</v>
      </c>
      <c r="E191">
        <v>0.1754</v>
      </c>
      <c r="F191">
        <v>0.1283</v>
      </c>
      <c r="G191">
        <v>170</v>
      </c>
      <c r="H191">
        <v>170</v>
      </c>
      <c r="I191">
        <v>35</v>
      </c>
      <c r="J191">
        <v>1</v>
      </c>
      <c r="K191">
        <v>52.088000000000001</v>
      </c>
    </row>
    <row r="192" spans="1:11">
      <c r="A192">
        <v>0.31790000000000002</v>
      </c>
      <c r="B192">
        <v>0.15260000000000001</v>
      </c>
      <c r="C192">
        <v>0.14630000000000001</v>
      </c>
      <c r="D192">
        <v>0</v>
      </c>
      <c r="E192">
        <v>2.18E-2</v>
      </c>
      <c r="F192">
        <v>0.36130000000000001</v>
      </c>
      <c r="G192">
        <v>60</v>
      </c>
      <c r="H192">
        <v>80</v>
      </c>
      <c r="I192">
        <v>37</v>
      </c>
      <c r="J192">
        <v>2</v>
      </c>
      <c r="K192">
        <v>19.074000000000002</v>
      </c>
    </row>
    <row r="193" spans="1:11">
      <c r="A193">
        <v>0.3115</v>
      </c>
      <c r="B193">
        <v>0.39069999999999999</v>
      </c>
      <c r="C193">
        <v>0</v>
      </c>
      <c r="D193">
        <v>3.15E-2</v>
      </c>
      <c r="E193">
        <v>0</v>
      </c>
      <c r="F193">
        <v>0.26629999999999998</v>
      </c>
      <c r="G193">
        <v>50</v>
      </c>
      <c r="H193">
        <v>220</v>
      </c>
      <c r="I193">
        <v>34</v>
      </c>
      <c r="J193">
        <v>1</v>
      </c>
      <c r="K193">
        <v>15.574999999999999</v>
      </c>
    </row>
    <row r="194" spans="1:11">
      <c r="A194">
        <v>0.34899999999999998</v>
      </c>
      <c r="B194">
        <v>0.13400000000000001</v>
      </c>
      <c r="C194">
        <v>1.55E-2</v>
      </c>
      <c r="D194">
        <v>5.4399999999999997E-2</v>
      </c>
      <c r="E194">
        <v>0.29820000000000002</v>
      </c>
      <c r="F194">
        <v>0.1489</v>
      </c>
      <c r="G194">
        <v>60</v>
      </c>
      <c r="H194">
        <v>110</v>
      </c>
      <c r="I194">
        <v>26</v>
      </c>
      <c r="J194">
        <v>1</v>
      </c>
      <c r="K194">
        <v>20.94</v>
      </c>
    </row>
    <row r="195" spans="1:11">
      <c r="A195">
        <v>0.2732</v>
      </c>
      <c r="B195">
        <v>0.123</v>
      </c>
      <c r="C195">
        <v>7.8E-2</v>
      </c>
      <c r="D195">
        <v>2.6100000000000002E-2</v>
      </c>
      <c r="E195">
        <v>0.35099999999999998</v>
      </c>
      <c r="F195">
        <v>0.1487</v>
      </c>
      <c r="G195">
        <v>130</v>
      </c>
      <c r="H195">
        <v>150</v>
      </c>
      <c r="I195">
        <v>34</v>
      </c>
      <c r="J195">
        <v>2</v>
      </c>
      <c r="K195">
        <v>35.515999999999998</v>
      </c>
    </row>
    <row r="196" spans="1:11">
      <c r="A196">
        <v>0.2379</v>
      </c>
      <c r="B196">
        <v>0.1176</v>
      </c>
      <c r="C196">
        <v>0.1368</v>
      </c>
      <c r="D196">
        <v>7.5300000000000006E-2</v>
      </c>
      <c r="E196">
        <v>0.15290000000000001</v>
      </c>
      <c r="F196">
        <v>0.27950000000000003</v>
      </c>
      <c r="G196">
        <v>90</v>
      </c>
      <c r="H196">
        <v>130</v>
      </c>
      <c r="I196">
        <v>30</v>
      </c>
      <c r="J196">
        <v>2</v>
      </c>
      <c r="K196">
        <v>21.411000000000001</v>
      </c>
    </row>
    <row r="197" spans="1:11">
      <c r="A197">
        <v>0.26490000000000002</v>
      </c>
      <c r="B197">
        <v>9.8199999999999996E-2</v>
      </c>
      <c r="C197">
        <v>0.25869999999999999</v>
      </c>
      <c r="D197">
        <v>3.1800000000000002E-2</v>
      </c>
      <c r="E197">
        <v>6.5600000000000006E-2</v>
      </c>
      <c r="F197">
        <v>0.28079999999999999</v>
      </c>
      <c r="G197">
        <v>140</v>
      </c>
      <c r="H197">
        <v>100</v>
      </c>
      <c r="I197">
        <v>37</v>
      </c>
      <c r="J197">
        <v>2</v>
      </c>
      <c r="K197">
        <v>37.085999999999999</v>
      </c>
    </row>
    <row r="198" spans="1:11">
      <c r="A198">
        <v>0.42930000000000001</v>
      </c>
      <c r="B198">
        <v>9.1999999999999998E-2</v>
      </c>
      <c r="C198">
        <v>3.0000000000000001E-3</v>
      </c>
      <c r="D198">
        <v>0.1244</v>
      </c>
      <c r="E198">
        <v>0.15770000000000001</v>
      </c>
      <c r="F198">
        <v>0.19350000000000001</v>
      </c>
      <c r="G198">
        <v>70</v>
      </c>
      <c r="H198">
        <v>120</v>
      </c>
      <c r="I198">
        <v>28</v>
      </c>
      <c r="J198">
        <v>2</v>
      </c>
      <c r="K198">
        <v>30.050999999999998</v>
      </c>
    </row>
    <row r="199" spans="1:11">
      <c r="A199">
        <v>0.61980000000000002</v>
      </c>
      <c r="B199">
        <v>6.7900000000000002E-2</v>
      </c>
      <c r="C199">
        <v>0.12529999999999999</v>
      </c>
      <c r="D199">
        <v>0</v>
      </c>
      <c r="E199">
        <v>0</v>
      </c>
      <c r="F199">
        <v>0.187</v>
      </c>
      <c r="G199">
        <v>90</v>
      </c>
      <c r="H199">
        <v>80</v>
      </c>
      <c r="I199">
        <v>31</v>
      </c>
      <c r="J199">
        <v>2</v>
      </c>
      <c r="K199">
        <v>55.781999999999996</v>
      </c>
    </row>
    <row r="200" spans="1:11">
      <c r="A200">
        <v>0.23039999999999999</v>
      </c>
      <c r="B200">
        <v>3.15E-2</v>
      </c>
      <c r="C200">
        <v>0.31480000000000002</v>
      </c>
      <c r="D200">
        <v>0.1431</v>
      </c>
      <c r="E200">
        <v>0.1051</v>
      </c>
      <c r="F200">
        <v>0.17510000000000001</v>
      </c>
      <c r="G200">
        <v>190</v>
      </c>
      <c r="H200">
        <v>160</v>
      </c>
      <c r="I200">
        <v>52</v>
      </c>
      <c r="J200">
        <v>1</v>
      </c>
      <c r="K200">
        <v>43.776000000000003</v>
      </c>
    </row>
    <row r="201" spans="1:11">
      <c r="A201">
        <v>0.30470000000000003</v>
      </c>
      <c r="B201">
        <v>6.6600000000000006E-2</v>
      </c>
      <c r="C201">
        <v>3.3E-3</v>
      </c>
      <c r="D201">
        <v>5.28E-2</v>
      </c>
      <c r="E201">
        <v>0.15690000000000001</v>
      </c>
      <c r="F201">
        <v>0.41570000000000001</v>
      </c>
      <c r="G201">
        <v>50</v>
      </c>
      <c r="H201">
        <v>110</v>
      </c>
      <c r="I201">
        <v>33</v>
      </c>
      <c r="J201">
        <v>2</v>
      </c>
      <c r="K201">
        <v>15.234999999999999</v>
      </c>
    </row>
    <row r="202" spans="1:11">
      <c r="A202">
        <v>0.33689999999999998</v>
      </c>
      <c r="B202">
        <v>8.4699999999999998E-2</v>
      </c>
      <c r="C202">
        <v>2.52E-2</v>
      </c>
      <c r="D202">
        <v>0</v>
      </c>
      <c r="E202">
        <v>1.03E-2</v>
      </c>
      <c r="F202">
        <v>0.54290000000000005</v>
      </c>
      <c r="G202">
        <v>80</v>
      </c>
      <c r="H202">
        <v>120</v>
      </c>
      <c r="I202">
        <v>36</v>
      </c>
      <c r="J202">
        <v>2</v>
      </c>
      <c r="K202">
        <v>26.952000000000002</v>
      </c>
    </row>
    <row r="203" spans="1:11">
      <c r="A203">
        <v>0.47120000000000001</v>
      </c>
      <c r="B203">
        <v>0.17249999999999999</v>
      </c>
      <c r="C203">
        <v>5.0900000000000001E-2</v>
      </c>
      <c r="D203">
        <v>6.6100000000000006E-2</v>
      </c>
      <c r="E203">
        <v>8.0100000000000005E-2</v>
      </c>
      <c r="F203">
        <v>0.15909999999999999</v>
      </c>
      <c r="G203">
        <v>70</v>
      </c>
      <c r="H203">
        <v>130</v>
      </c>
      <c r="I203">
        <v>33</v>
      </c>
      <c r="J203">
        <v>2</v>
      </c>
      <c r="K203">
        <v>32.984000000000002</v>
      </c>
    </row>
    <row r="204" spans="1:11">
      <c r="A204">
        <v>0.31330000000000002</v>
      </c>
      <c r="B204">
        <v>0.14979999999999999</v>
      </c>
      <c r="C204">
        <v>6.2100000000000002E-2</v>
      </c>
      <c r="D204">
        <v>0.1012</v>
      </c>
      <c r="E204">
        <v>0.14000000000000001</v>
      </c>
      <c r="F204">
        <v>0.2336</v>
      </c>
      <c r="G204">
        <v>90</v>
      </c>
      <c r="H204">
        <v>120</v>
      </c>
      <c r="I204">
        <v>33</v>
      </c>
      <c r="J204">
        <v>2</v>
      </c>
      <c r="K204">
        <v>28.196999999999999</v>
      </c>
    </row>
    <row r="205" spans="1:11">
      <c r="A205">
        <v>0.46750000000000003</v>
      </c>
      <c r="B205">
        <v>9.6100000000000005E-2</v>
      </c>
      <c r="C205">
        <v>1.09E-2</v>
      </c>
      <c r="D205">
        <v>8.7800000000000003E-2</v>
      </c>
      <c r="E205">
        <v>1.5800000000000002E-2</v>
      </c>
      <c r="F205">
        <v>0.32179999999999997</v>
      </c>
      <c r="G205">
        <v>80</v>
      </c>
      <c r="H205">
        <v>110</v>
      </c>
      <c r="I205">
        <v>40</v>
      </c>
      <c r="J205">
        <v>2</v>
      </c>
      <c r="K205">
        <v>37.4</v>
      </c>
    </row>
    <row r="206" spans="1:11">
      <c r="A206">
        <v>0.44429999999999997</v>
      </c>
      <c r="B206">
        <v>9.0700000000000003E-2</v>
      </c>
      <c r="C206">
        <v>2.0500000000000001E-2</v>
      </c>
      <c r="D206">
        <v>0.13100000000000001</v>
      </c>
      <c r="E206">
        <v>7.3599999999999999E-2</v>
      </c>
      <c r="F206">
        <v>0.2399</v>
      </c>
      <c r="G206">
        <v>80</v>
      </c>
      <c r="H206">
        <v>140</v>
      </c>
      <c r="I206">
        <v>30</v>
      </c>
      <c r="J206">
        <v>1</v>
      </c>
      <c r="K206">
        <v>35.543999999999997</v>
      </c>
    </row>
    <row r="207" spans="1:11">
      <c r="A207">
        <v>0.22889999999999999</v>
      </c>
      <c r="B207">
        <v>0.1062</v>
      </c>
      <c r="C207">
        <v>9.3200000000000005E-2</v>
      </c>
      <c r="D207">
        <v>0.10349999999999999</v>
      </c>
      <c r="E207">
        <v>0.24010000000000001</v>
      </c>
      <c r="F207">
        <v>0.2281</v>
      </c>
      <c r="G207">
        <v>80</v>
      </c>
      <c r="H207">
        <v>140</v>
      </c>
      <c r="I207">
        <v>33</v>
      </c>
      <c r="J207">
        <v>2</v>
      </c>
      <c r="K207">
        <v>18.312000000000001</v>
      </c>
    </row>
    <row r="208" spans="1:11">
      <c r="A208">
        <v>0.50170000000000003</v>
      </c>
      <c r="B208">
        <v>8.43E-2</v>
      </c>
      <c r="C208">
        <v>7.3800000000000004E-2</v>
      </c>
      <c r="D208">
        <v>0.1323</v>
      </c>
      <c r="E208">
        <v>0.12559999999999999</v>
      </c>
      <c r="F208">
        <v>8.2299999999999998E-2</v>
      </c>
      <c r="G208">
        <v>70</v>
      </c>
      <c r="H208">
        <v>110</v>
      </c>
      <c r="I208">
        <v>25</v>
      </c>
      <c r="J208">
        <v>2</v>
      </c>
      <c r="K208">
        <v>35.119</v>
      </c>
    </row>
    <row r="209" spans="1:11">
      <c r="A209">
        <v>0.20269999999999999</v>
      </c>
      <c r="B209">
        <v>5.2600000000000001E-2</v>
      </c>
      <c r="C209">
        <v>0.1237</v>
      </c>
      <c r="D209">
        <v>2.5899999999999999E-2</v>
      </c>
      <c r="E209">
        <v>0.14949999999999999</v>
      </c>
      <c r="F209">
        <v>0.44550000000000001</v>
      </c>
      <c r="G209">
        <v>190</v>
      </c>
      <c r="H209">
        <v>200</v>
      </c>
      <c r="I209">
        <v>41</v>
      </c>
      <c r="J209">
        <v>1</v>
      </c>
      <c r="K209">
        <v>38.512999999999998</v>
      </c>
    </row>
    <row r="210" spans="1:11">
      <c r="A210">
        <v>0.37680000000000002</v>
      </c>
      <c r="B210">
        <v>0.1477</v>
      </c>
      <c r="C210">
        <v>0</v>
      </c>
      <c r="D210">
        <v>6.1999999999999998E-3</v>
      </c>
      <c r="E210">
        <v>0.15260000000000001</v>
      </c>
      <c r="F210">
        <v>0.31669999999999998</v>
      </c>
      <c r="G210">
        <v>50</v>
      </c>
      <c r="H210">
        <v>120</v>
      </c>
      <c r="I210">
        <v>33</v>
      </c>
      <c r="J210">
        <v>1</v>
      </c>
      <c r="K210">
        <v>18.84</v>
      </c>
    </row>
    <row r="211" spans="1:11">
      <c r="A211">
        <v>0.33789999999999998</v>
      </c>
      <c r="B211">
        <v>6.1100000000000002E-2</v>
      </c>
      <c r="C211">
        <v>2.4500000000000001E-2</v>
      </c>
      <c r="D211">
        <v>3.3599999999999998E-2</v>
      </c>
      <c r="E211">
        <v>0.15679999999999999</v>
      </c>
      <c r="F211">
        <v>0.38600000000000001</v>
      </c>
      <c r="G211">
        <v>60</v>
      </c>
      <c r="H211">
        <v>100</v>
      </c>
      <c r="I211">
        <v>28</v>
      </c>
      <c r="J211">
        <v>1</v>
      </c>
      <c r="K211">
        <v>20.274000000000001</v>
      </c>
    </row>
    <row r="212" spans="1:11">
      <c r="A212">
        <v>0.33239999999999997</v>
      </c>
      <c r="B212">
        <v>4.7899999999999998E-2</v>
      </c>
      <c r="C212">
        <v>1.3599999999999999E-2</v>
      </c>
      <c r="D212">
        <v>0.1424</v>
      </c>
      <c r="E212">
        <v>0.1215</v>
      </c>
      <c r="F212">
        <v>0.3422</v>
      </c>
      <c r="G212">
        <v>110</v>
      </c>
      <c r="H212">
        <v>160</v>
      </c>
      <c r="I212">
        <v>35</v>
      </c>
      <c r="J212">
        <v>2</v>
      </c>
      <c r="K212">
        <v>36.564</v>
      </c>
    </row>
    <row r="213" spans="1:11">
      <c r="A213">
        <v>0.1835</v>
      </c>
      <c r="B213">
        <v>8.4900000000000003E-2</v>
      </c>
      <c r="C213">
        <v>5.1700000000000003E-2</v>
      </c>
      <c r="D213">
        <v>2.9700000000000001E-2</v>
      </c>
      <c r="E213">
        <v>7.85E-2</v>
      </c>
      <c r="F213">
        <v>0.57169999999999999</v>
      </c>
      <c r="G213">
        <v>150</v>
      </c>
      <c r="H213">
        <v>140</v>
      </c>
      <c r="I213">
        <v>35</v>
      </c>
      <c r="J213">
        <v>2</v>
      </c>
      <c r="K213">
        <v>27.524999999999999</v>
      </c>
    </row>
    <row r="214" spans="1:11">
      <c r="A214">
        <v>0.2276</v>
      </c>
      <c r="B214">
        <v>8.6800000000000002E-2</v>
      </c>
      <c r="C214">
        <v>1.7299999999999999E-2</v>
      </c>
      <c r="D214">
        <v>8.0600000000000005E-2</v>
      </c>
      <c r="E214">
        <v>0.4713</v>
      </c>
      <c r="F214">
        <v>0.1163</v>
      </c>
      <c r="G214">
        <v>90</v>
      </c>
      <c r="H214">
        <v>110</v>
      </c>
      <c r="I214">
        <v>26</v>
      </c>
      <c r="J214">
        <v>1</v>
      </c>
      <c r="K214">
        <v>20.484000000000002</v>
      </c>
    </row>
    <row r="215" spans="1:11">
      <c r="A215">
        <v>0.25530000000000003</v>
      </c>
      <c r="B215">
        <v>0.1555</v>
      </c>
      <c r="C215">
        <v>0.20860000000000001</v>
      </c>
      <c r="D215">
        <v>9.2799999999999994E-2</v>
      </c>
      <c r="E215">
        <v>6.9199999999999998E-2</v>
      </c>
      <c r="F215">
        <v>0.21859999999999999</v>
      </c>
      <c r="G215">
        <v>100</v>
      </c>
      <c r="H215">
        <v>220</v>
      </c>
      <c r="I215">
        <v>37</v>
      </c>
      <c r="J215">
        <v>2</v>
      </c>
      <c r="K215">
        <v>25.53</v>
      </c>
    </row>
    <row r="216" spans="1:11">
      <c r="A216">
        <v>0.4138</v>
      </c>
      <c r="B216">
        <v>0.13350000000000001</v>
      </c>
      <c r="C216">
        <v>9.9099999999999994E-2</v>
      </c>
      <c r="D216">
        <v>3.0200000000000001E-2</v>
      </c>
      <c r="E216">
        <v>1.26E-2</v>
      </c>
      <c r="F216">
        <v>0.31069999999999998</v>
      </c>
      <c r="G216">
        <v>60</v>
      </c>
      <c r="H216">
        <v>80</v>
      </c>
      <c r="I216">
        <v>31</v>
      </c>
      <c r="J216">
        <v>2</v>
      </c>
      <c r="K216">
        <v>24.827999999999999</v>
      </c>
    </row>
    <row r="217" spans="1:11">
      <c r="A217">
        <v>0.32800000000000001</v>
      </c>
      <c r="B217">
        <v>7.2599999999999998E-2</v>
      </c>
      <c r="C217">
        <v>2.64E-2</v>
      </c>
      <c r="D217">
        <v>3.1600000000000003E-2</v>
      </c>
      <c r="E217">
        <v>7.6499999999999999E-2</v>
      </c>
      <c r="F217">
        <v>0.46479999999999999</v>
      </c>
      <c r="G217">
        <v>110</v>
      </c>
      <c r="H217">
        <v>120</v>
      </c>
      <c r="I217">
        <v>37</v>
      </c>
      <c r="J217">
        <v>2</v>
      </c>
      <c r="K217">
        <v>36.08</v>
      </c>
    </row>
    <row r="218" spans="1:11">
      <c r="A218">
        <v>0.28639999999999999</v>
      </c>
      <c r="B218">
        <v>0.1532</v>
      </c>
      <c r="C218">
        <v>0.18629999999999999</v>
      </c>
      <c r="D218">
        <v>4.2500000000000003E-2</v>
      </c>
      <c r="E218">
        <v>0.15640000000000001</v>
      </c>
      <c r="F218">
        <v>0.17519999999999999</v>
      </c>
      <c r="G218">
        <v>80</v>
      </c>
      <c r="H218">
        <v>120</v>
      </c>
      <c r="I218">
        <v>37</v>
      </c>
      <c r="J218">
        <v>2</v>
      </c>
      <c r="K218">
        <v>22.911999999999999</v>
      </c>
    </row>
    <row r="219" spans="1:11">
      <c r="A219">
        <v>0.3427</v>
      </c>
      <c r="B219">
        <v>7.3200000000000001E-2</v>
      </c>
      <c r="C219">
        <v>1.29E-2</v>
      </c>
      <c r="D219">
        <v>0.2666</v>
      </c>
      <c r="E219">
        <v>2.9999999999999997E-4</v>
      </c>
      <c r="F219">
        <v>0.30430000000000001</v>
      </c>
      <c r="G219">
        <v>140</v>
      </c>
      <c r="H219">
        <v>120</v>
      </c>
      <c r="I219">
        <v>41</v>
      </c>
      <c r="J219">
        <v>2</v>
      </c>
      <c r="K219">
        <v>47.978000000000002</v>
      </c>
    </row>
    <row r="220" spans="1:11">
      <c r="A220">
        <v>0.29549999999999998</v>
      </c>
      <c r="B220">
        <v>8.9800000000000005E-2</v>
      </c>
      <c r="C220">
        <v>2.47E-2</v>
      </c>
      <c r="D220">
        <v>0.17610000000000001</v>
      </c>
      <c r="E220">
        <v>0.14080000000000001</v>
      </c>
      <c r="F220">
        <v>0.27289999999999998</v>
      </c>
      <c r="G220">
        <v>100</v>
      </c>
      <c r="H220">
        <v>100</v>
      </c>
      <c r="I220">
        <v>30</v>
      </c>
      <c r="J220">
        <v>1</v>
      </c>
      <c r="K220">
        <v>29.55</v>
      </c>
    </row>
    <row r="221" spans="1:11">
      <c r="A221">
        <v>0.33800000000000002</v>
      </c>
      <c r="B221">
        <v>7.7200000000000005E-2</v>
      </c>
      <c r="C221">
        <v>7.51E-2</v>
      </c>
      <c r="D221">
        <v>0.159</v>
      </c>
      <c r="E221">
        <v>8.48E-2</v>
      </c>
      <c r="F221">
        <v>0.26590000000000003</v>
      </c>
      <c r="G221">
        <v>120</v>
      </c>
      <c r="H221">
        <v>130</v>
      </c>
      <c r="I221">
        <v>34</v>
      </c>
      <c r="J221">
        <v>2</v>
      </c>
      <c r="K221">
        <v>40.56</v>
      </c>
    </row>
    <row r="222" spans="1:11">
      <c r="A222">
        <v>0.4854</v>
      </c>
      <c r="B222">
        <v>0.1069</v>
      </c>
      <c r="C222">
        <v>0.1545</v>
      </c>
      <c r="D222">
        <v>4.7E-2</v>
      </c>
      <c r="E222">
        <v>1.47E-2</v>
      </c>
      <c r="F222">
        <v>0.1915</v>
      </c>
      <c r="G222">
        <v>70</v>
      </c>
      <c r="H222">
        <v>80</v>
      </c>
      <c r="I222">
        <v>30</v>
      </c>
      <c r="J222">
        <v>2</v>
      </c>
      <c r="K222">
        <v>33.978000000000002</v>
      </c>
    </row>
    <row r="223" spans="1:11">
      <c r="A223">
        <v>0.1651</v>
      </c>
      <c r="B223">
        <v>6.5799999999999997E-2</v>
      </c>
      <c r="C223">
        <v>4.4699999999999997E-2</v>
      </c>
      <c r="D223">
        <v>3.6700000000000003E-2</v>
      </c>
      <c r="E223">
        <v>0.61339999999999995</v>
      </c>
      <c r="F223">
        <v>7.4399999999999994E-2</v>
      </c>
      <c r="G223">
        <v>120</v>
      </c>
      <c r="H223">
        <v>120</v>
      </c>
      <c r="I223">
        <v>33</v>
      </c>
      <c r="J223">
        <v>1</v>
      </c>
      <c r="K223">
        <v>19.812000000000001</v>
      </c>
    </row>
    <row r="224" spans="1:11">
      <c r="A224">
        <v>0.43130000000000002</v>
      </c>
      <c r="B224">
        <v>0.1545</v>
      </c>
      <c r="C224">
        <v>5.7000000000000002E-2</v>
      </c>
      <c r="D224">
        <v>0</v>
      </c>
      <c r="E224">
        <v>5.79E-2</v>
      </c>
      <c r="F224">
        <v>0.29930000000000001</v>
      </c>
      <c r="G224">
        <v>50</v>
      </c>
      <c r="H224">
        <v>90</v>
      </c>
      <c r="I224">
        <v>28</v>
      </c>
      <c r="J224">
        <v>1</v>
      </c>
      <c r="K224">
        <v>21.565000000000001</v>
      </c>
    </row>
    <row r="225" spans="1:11">
      <c r="A225">
        <v>0.53029999999999999</v>
      </c>
      <c r="B225">
        <v>0.14949999999999999</v>
      </c>
      <c r="C225">
        <v>2.3300000000000001E-2</v>
      </c>
      <c r="D225">
        <v>2.41E-2</v>
      </c>
      <c r="E225">
        <v>4.02E-2</v>
      </c>
      <c r="F225">
        <v>0.2326</v>
      </c>
      <c r="G225">
        <v>60</v>
      </c>
      <c r="H225">
        <v>280</v>
      </c>
      <c r="I225">
        <v>33</v>
      </c>
      <c r="J225">
        <v>2</v>
      </c>
      <c r="K225">
        <v>31.818000000000001</v>
      </c>
    </row>
    <row r="226" spans="1:11">
      <c r="A226">
        <v>0.33510000000000001</v>
      </c>
      <c r="B226">
        <v>6.4899999999999999E-2</v>
      </c>
      <c r="C226">
        <v>0.2344</v>
      </c>
      <c r="D226">
        <v>1.1299999999999999E-2</v>
      </c>
      <c r="E226">
        <v>0.1192</v>
      </c>
      <c r="F226">
        <v>0.2351</v>
      </c>
      <c r="G226">
        <v>90</v>
      </c>
      <c r="H226">
        <v>120</v>
      </c>
      <c r="I226">
        <v>30</v>
      </c>
      <c r="J226">
        <v>2</v>
      </c>
      <c r="K226">
        <v>30.158999999999999</v>
      </c>
    </row>
    <row r="227" spans="1:11">
      <c r="A227">
        <v>0.43419999999999997</v>
      </c>
      <c r="B227">
        <v>0.1</v>
      </c>
      <c r="C227">
        <v>0.25430000000000003</v>
      </c>
      <c r="D227">
        <v>7.1999999999999998E-3</v>
      </c>
      <c r="E227">
        <v>6.4600000000000005E-2</v>
      </c>
      <c r="F227">
        <v>0.13969999999999999</v>
      </c>
      <c r="G227">
        <v>100</v>
      </c>
      <c r="H227">
        <v>180</v>
      </c>
      <c r="I227">
        <v>48</v>
      </c>
      <c r="J227">
        <v>2</v>
      </c>
      <c r="K227">
        <v>43.42</v>
      </c>
    </row>
    <row r="228" spans="1:11">
      <c r="A228">
        <v>0.4325</v>
      </c>
      <c r="B228">
        <v>0.17119999999999999</v>
      </c>
      <c r="C228">
        <v>5.4000000000000003E-3</v>
      </c>
      <c r="D228">
        <v>6.1499999999999999E-2</v>
      </c>
      <c r="E228">
        <v>0</v>
      </c>
      <c r="F228">
        <v>0.32929999999999998</v>
      </c>
      <c r="G228">
        <v>60</v>
      </c>
      <c r="H228">
        <v>190</v>
      </c>
      <c r="I228">
        <v>29</v>
      </c>
      <c r="J228">
        <v>1</v>
      </c>
      <c r="K228">
        <v>25.95</v>
      </c>
    </row>
    <row r="229" spans="1:11">
      <c r="A229">
        <v>0.16220000000000001</v>
      </c>
      <c r="B229">
        <v>9.0899999999999995E-2</v>
      </c>
      <c r="C229">
        <v>0.25900000000000001</v>
      </c>
      <c r="D229">
        <v>1.5699999999999999E-2</v>
      </c>
      <c r="E229">
        <v>0.31819999999999998</v>
      </c>
      <c r="F229">
        <v>0.154</v>
      </c>
      <c r="G229">
        <v>110</v>
      </c>
      <c r="H229">
        <v>120</v>
      </c>
      <c r="I229">
        <v>32</v>
      </c>
      <c r="J229">
        <v>2</v>
      </c>
      <c r="K229">
        <v>17.841999999999999</v>
      </c>
    </row>
    <row r="230" spans="1:11">
      <c r="A230">
        <v>0.39179999999999998</v>
      </c>
      <c r="B230">
        <v>8.72E-2</v>
      </c>
      <c r="C230">
        <v>8.8800000000000004E-2</v>
      </c>
      <c r="D230">
        <v>4.1599999999999998E-2</v>
      </c>
      <c r="E230">
        <v>0.23830000000000001</v>
      </c>
      <c r="F230">
        <v>0.15229999999999999</v>
      </c>
      <c r="G230">
        <v>70</v>
      </c>
      <c r="H230">
        <v>110</v>
      </c>
      <c r="I230">
        <v>27</v>
      </c>
      <c r="J230">
        <v>1</v>
      </c>
      <c r="K230">
        <v>27.425999999999998</v>
      </c>
    </row>
    <row r="231" spans="1:11">
      <c r="A231">
        <v>0.2994</v>
      </c>
      <c r="B231">
        <v>0.2069</v>
      </c>
      <c r="C231">
        <v>7.6E-3</v>
      </c>
      <c r="D231">
        <v>4.0500000000000001E-2</v>
      </c>
      <c r="E231">
        <v>0.14879999999999999</v>
      </c>
      <c r="F231">
        <v>0.2969</v>
      </c>
      <c r="G231">
        <v>60</v>
      </c>
      <c r="H231">
        <v>150</v>
      </c>
      <c r="I231">
        <v>24</v>
      </c>
      <c r="J231">
        <v>1</v>
      </c>
      <c r="K231">
        <v>17.963999999999999</v>
      </c>
    </row>
    <row r="232" spans="1:11">
      <c r="A232">
        <v>0.31979999999999997</v>
      </c>
      <c r="B232">
        <v>4.5900000000000003E-2</v>
      </c>
      <c r="C232">
        <v>0</v>
      </c>
      <c r="D232">
        <v>0.1318</v>
      </c>
      <c r="E232">
        <v>0.1477</v>
      </c>
      <c r="F232">
        <v>0.35470000000000002</v>
      </c>
      <c r="G232">
        <v>120</v>
      </c>
      <c r="H232">
        <v>140</v>
      </c>
      <c r="I232">
        <v>30</v>
      </c>
      <c r="J232">
        <v>1</v>
      </c>
      <c r="K232">
        <v>38.375999999999998</v>
      </c>
    </row>
    <row r="233" spans="1:11">
      <c r="A233">
        <v>0.29239999999999999</v>
      </c>
      <c r="B233">
        <v>8.7099999999999997E-2</v>
      </c>
      <c r="C233">
        <v>0.14979999999999999</v>
      </c>
      <c r="D233">
        <v>3.4299999999999997E-2</v>
      </c>
      <c r="E233">
        <v>0.24729999999999999</v>
      </c>
      <c r="F233">
        <v>0.18909999999999999</v>
      </c>
      <c r="G233">
        <v>160</v>
      </c>
      <c r="H233">
        <v>160</v>
      </c>
      <c r="I233">
        <v>41</v>
      </c>
      <c r="J233">
        <v>2</v>
      </c>
      <c r="K233">
        <v>46.783999999999999</v>
      </c>
    </row>
    <row r="234" spans="1:11">
      <c r="A234">
        <v>0.37619999999999998</v>
      </c>
      <c r="B234">
        <v>8.1900000000000001E-2</v>
      </c>
      <c r="C234">
        <v>0.15329999999999999</v>
      </c>
      <c r="D234">
        <v>1.7899999999999999E-2</v>
      </c>
      <c r="E234">
        <v>6.6500000000000004E-2</v>
      </c>
      <c r="F234">
        <v>0.30430000000000001</v>
      </c>
      <c r="G234">
        <v>70</v>
      </c>
      <c r="H234">
        <v>120</v>
      </c>
      <c r="I234">
        <v>48</v>
      </c>
      <c r="J234">
        <v>2</v>
      </c>
      <c r="K234">
        <v>26.334</v>
      </c>
    </row>
    <row r="235" spans="1:11">
      <c r="A235">
        <v>0.3412</v>
      </c>
      <c r="B235">
        <v>0.15310000000000001</v>
      </c>
      <c r="C235">
        <v>3.6900000000000002E-2</v>
      </c>
      <c r="D235">
        <v>1.67E-2</v>
      </c>
      <c r="E235">
        <v>0.21840000000000001</v>
      </c>
      <c r="F235">
        <v>0.23369999999999999</v>
      </c>
      <c r="G235">
        <v>60</v>
      </c>
      <c r="H235">
        <v>100</v>
      </c>
      <c r="I235">
        <v>31</v>
      </c>
      <c r="J235">
        <v>1</v>
      </c>
      <c r="K235">
        <v>20.472000000000001</v>
      </c>
    </row>
    <row r="236" spans="1:11">
      <c r="A236">
        <v>0.48099999999999998</v>
      </c>
      <c r="B236">
        <v>7.8899999999999998E-2</v>
      </c>
      <c r="C236">
        <v>0.1174</v>
      </c>
      <c r="D236">
        <v>1.29E-2</v>
      </c>
      <c r="E236">
        <v>9.1399999999999995E-2</v>
      </c>
      <c r="F236">
        <v>0.21840000000000001</v>
      </c>
      <c r="G236">
        <v>100</v>
      </c>
      <c r="H236">
        <v>160</v>
      </c>
      <c r="I236">
        <v>55</v>
      </c>
      <c r="J236">
        <v>1</v>
      </c>
      <c r="K236">
        <v>48.1</v>
      </c>
    </row>
    <row r="237" spans="1:11">
      <c r="A237">
        <v>0.53580000000000005</v>
      </c>
      <c r="B237">
        <v>5.3100000000000001E-2</v>
      </c>
      <c r="C237">
        <v>9.35E-2</v>
      </c>
      <c r="D237">
        <v>3.61E-2</v>
      </c>
      <c r="E237">
        <v>0</v>
      </c>
      <c r="F237">
        <v>0.28149999999999997</v>
      </c>
      <c r="G237">
        <v>60</v>
      </c>
      <c r="H237">
        <v>160</v>
      </c>
      <c r="I237">
        <v>30</v>
      </c>
      <c r="J237">
        <v>2</v>
      </c>
      <c r="K237">
        <v>32.148000000000003</v>
      </c>
    </row>
    <row r="238" spans="1:11">
      <c r="A238">
        <v>0.32269999999999999</v>
      </c>
      <c r="B238">
        <v>0.1036</v>
      </c>
      <c r="C238">
        <v>1.2800000000000001E-2</v>
      </c>
      <c r="D238">
        <v>0.1774</v>
      </c>
      <c r="E238">
        <v>0.20760000000000001</v>
      </c>
      <c r="F238">
        <v>0.17599999999999999</v>
      </c>
      <c r="G238">
        <v>90</v>
      </c>
      <c r="H238">
        <v>80</v>
      </c>
      <c r="I238">
        <v>27</v>
      </c>
      <c r="J238">
        <v>2</v>
      </c>
      <c r="K238">
        <v>29.042999999999999</v>
      </c>
    </row>
    <row r="239" spans="1:11">
      <c r="A239">
        <v>0.4738</v>
      </c>
      <c r="B239">
        <v>0.16589999999999999</v>
      </c>
      <c r="C239">
        <v>0</v>
      </c>
      <c r="D239">
        <v>0</v>
      </c>
      <c r="E239">
        <v>0.254</v>
      </c>
      <c r="F239">
        <v>0.10630000000000001</v>
      </c>
      <c r="G239">
        <v>40</v>
      </c>
      <c r="H239">
        <v>90</v>
      </c>
      <c r="I239">
        <v>43</v>
      </c>
      <c r="J239">
        <v>1</v>
      </c>
      <c r="K239">
        <v>18.952000000000002</v>
      </c>
    </row>
    <row r="240" spans="1:11">
      <c r="A240">
        <v>0.35289999999999999</v>
      </c>
      <c r="B240">
        <v>6.7100000000000007E-2</v>
      </c>
      <c r="C240">
        <v>0.12429999999999999</v>
      </c>
      <c r="D240">
        <v>4.6100000000000002E-2</v>
      </c>
      <c r="E240">
        <v>0</v>
      </c>
      <c r="F240">
        <v>0.40960000000000002</v>
      </c>
      <c r="G240">
        <v>60</v>
      </c>
      <c r="H240">
        <v>90</v>
      </c>
      <c r="I240">
        <v>35</v>
      </c>
      <c r="J240">
        <v>2</v>
      </c>
      <c r="K240">
        <v>21.173999999999999</v>
      </c>
    </row>
    <row r="241" spans="1:11">
      <c r="A241">
        <v>0.40660000000000002</v>
      </c>
      <c r="B241">
        <v>0.16309999999999999</v>
      </c>
      <c r="C241">
        <v>6.7299999999999999E-2</v>
      </c>
      <c r="D241">
        <v>3.3999999999999998E-3</v>
      </c>
      <c r="E241">
        <v>0.13270000000000001</v>
      </c>
      <c r="F241">
        <v>0.2268</v>
      </c>
      <c r="G241">
        <v>70</v>
      </c>
      <c r="H241">
        <v>150</v>
      </c>
      <c r="I241">
        <v>37</v>
      </c>
      <c r="J241">
        <v>2</v>
      </c>
      <c r="K241">
        <v>28.462</v>
      </c>
    </row>
    <row r="242" spans="1:11">
      <c r="A242">
        <v>0.1704</v>
      </c>
      <c r="B242">
        <v>3.2899999999999999E-2</v>
      </c>
      <c r="C242">
        <v>0.23849999999999999</v>
      </c>
      <c r="D242">
        <v>0.2147</v>
      </c>
      <c r="E242">
        <v>0.1154</v>
      </c>
      <c r="F242">
        <v>0.22819999999999999</v>
      </c>
      <c r="G242">
        <v>190</v>
      </c>
      <c r="H242">
        <v>130</v>
      </c>
      <c r="I242">
        <v>25</v>
      </c>
      <c r="J242">
        <v>2</v>
      </c>
      <c r="K242">
        <v>32.375999999999998</v>
      </c>
    </row>
    <row r="243" spans="1:11">
      <c r="A243">
        <v>0.56110000000000004</v>
      </c>
      <c r="B243">
        <v>0.1583</v>
      </c>
      <c r="C243">
        <v>0</v>
      </c>
      <c r="D243">
        <v>9.9699999999999997E-2</v>
      </c>
      <c r="E243">
        <v>1.3100000000000001E-2</v>
      </c>
      <c r="F243">
        <v>0.16769999999999999</v>
      </c>
      <c r="G243">
        <v>40</v>
      </c>
      <c r="H243">
        <v>80</v>
      </c>
      <c r="I243">
        <v>50</v>
      </c>
      <c r="J243">
        <v>1</v>
      </c>
      <c r="K243">
        <v>22.443999999999999</v>
      </c>
    </row>
    <row r="244" spans="1:11">
      <c r="A244">
        <v>0.40239999999999998</v>
      </c>
      <c r="B244">
        <v>9.4299999999999995E-2</v>
      </c>
      <c r="C244">
        <v>8.9999999999999993E-3</v>
      </c>
      <c r="D244">
        <v>0.1366</v>
      </c>
      <c r="E244">
        <v>0.1719</v>
      </c>
      <c r="F244">
        <v>0.1857</v>
      </c>
      <c r="G244">
        <v>70</v>
      </c>
      <c r="H244">
        <v>100</v>
      </c>
      <c r="I244">
        <v>39</v>
      </c>
      <c r="J244">
        <v>1</v>
      </c>
      <c r="K244">
        <v>28.167999999999999</v>
      </c>
    </row>
    <row r="245" spans="1:11">
      <c r="A245">
        <v>0.37640000000000001</v>
      </c>
      <c r="B245">
        <v>5.0299999999999997E-2</v>
      </c>
      <c r="C245">
        <v>6.1199999999999997E-2</v>
      </c>
      <c r="D245">
        <v>0.13689999999999999</v>
      </c>
      <c r="E245">
        <v>0.1459</v>
      </c>
      <c r="F245">
        <v>0.22919999999999999</v>
      </c>
      <c r="G245">
        <v>100</v>
      </c>
      <c r="H245">
        <v>90</v>
      </c>
      <c r="I245">
        <v>44</v>
      </c>
      <c r="J245">
        <v>2</v>
      </c>
      <c r="K245">
        <v>37.64</v>
      </c>
    </row>
    <row r="246" spans="1:11">
      <c r="A246">
        <v>0.24229999999999999</v>
      </c>
      <c r="B246">
        <v>6.4399999999999999E-2</v>
      </c>
      <c r="C246">
        <v>3.95E-2</v>
      </c>
      <c r="D246">
        <v>1.2999999999999999E-2</v>
      </c>
      <c r="E246">
        <v>0.43959999999999999</v>
      </c>
      <c r="F246">
        <v>0.20119999999999999</v>
      </c>
      <c r="G246">
        <v>110</v>
      </c>
      <c r="H246">
        <v>110</v>
      </c>
      <c r="I246">
        <v>41</v>
      </c>
      <c r="J246">
        <v>2</v>
      </c>
      <c r="K246">
        <v>26.652999999999999</v>
      </c>
    </row>
    <row r="247" spans="1:11">
      <c r="A247">
        <v>0.40810000000000002</v>
      </c>
      <c r="B247">
        <v>5.3600000000000002E-2</v>
      </c>
      <c r="C247">
        <v>0.1426</v>
      </c>
      <c r="D247">
        <v>0.1239</v>
      </c>
      <c r="E247">
        <v>6.6799999999999998E-2</v>
      </c>
      <c r="F247">
        <v>0.2049</v>
      </c>
      <c r="G247">
        <v>130</v>
      </c>
      <c r="H247">
        <v>180</v>
      </c>
      <c r="I247">
        <v>30</v>
      </c>
      <c r="J247">
        <v>2</v>
      </c>
      <c r="K247">
        <v>53.052999999999997</v>
      </c>
    </row>
    <row r="248" spans="1:11">
      <c r="A248">
        <v>0.38800000000000001</v>
      </c>
      <c r="B248">
        <v>0.11119999999999999</v>
      </c>
      <c r="C248">
        <v>0.1055</v>
      </c>
      <c r="D248">
        <v>0.10440000000000001</v>
      </c>
      <c r="E248">
        <v>0.1177</v>
      </c>
      <c r="F248">
        <v>0.1731</v>
      </c>
      <c r="G248">
        <v>70</v>
      </c>
      <c r="H248">
        <v>120</v>
      </c>
      <c r="I248">
        <v>34</v>
      </c>
      <c r="J248">
        <v>2</v>
      </c>
      <c r="K248">
        <v>27.16</v>
      </c>
    </row>
    <row r="249" spans="1:11">
      <c r="A249">
        <v>0.36549999999999999</v>
      </c>
      <c r="B249">
        <v>0.1129</v>
      </c>
      <c r="C249">
        <v>0.1012</v>
      </c>
      <c r="D249">
        <v>0</v>
      </c>
      <c r="E249">
        <v>0.2681</v>
      </c>
      <c r="F249">
        <v>0.15229999999999999</v>
      </c>
      <c r="G249">
        <v>110</v>
      </c>
      <c r="H249">
        <v>190</v>
      </c>
      <c r="I249">
        <v>33</v>
      </c>
      <c r="J249">
        <v>1</v>
      </c>
      <c r="K249">
        <v>40.204999999999998</v>
      </c>
    </row>
    <row r="250" spans="1:11">
      <c r="A250">
        <v>0.38619999999999999</v>
      </c>
      <c r="B250">
        <v>6.5000000000000002E-2</v>
      </c>
      <c r="C250">
        <v>0.27560000000000001</v>
      </c>
      <c r="D250">
        <v>1.6400000000000001E-2</v>
      </c>
      <c r="E250">
        <v>0.1139</v>
      </c>
      <c r="F250">
        <v>0.1429</v>
      </c>
      <c r="G250">
        <v>110</v>
      </c>
      <c r="H250">
        <v>100</v>
      </c>
      <c r="I250">
        <v>39</v>
      </c>
      <c r="J250">
        <v>1</v>
      </c>
      <c r="K250">
        <v>42.481999999999999</v>
      </c>
    </row>
    <row r="251" spans="1:11">
      <c r="A251">
        <v>0.29420000000000002</v>
      </c>
      <c r="B251">
        <v>6.88E-2</v>
      </c>
      <c r="C251">
        <v>5.5E-2</v>
      </c>
      <c r="D251">
        <v>0.16320000000000001</v>
      </c>
      <c r="E251">
        <v>0.2485</v>
      </c>
      <c r="F251">
        <v>0.17030000000000001</v>
      </c>
      <c r="G251">
        <v>80</v>
      </c>
      <c r="H251">
        <v>150</v>
      </c>
      <c r="I251">
        <v>43</v>
      </c>
      <c r="J251">
        <v>1</v>
      </c>
      <c r="K251">
        <v>23.536000000000001</v>
      </c>
    </row>
    <row r="252" spans="1:11">
      <c r="A252">
        <v>0.4118</v>
      </c>
      <c r="B252">
        <v>0.1429</v>
      </c>
      <c r="C252">
        <v>5.4199999999999998E-2</v>
      </c>
      <c r="D252">
        <v>8.14E-2</v>
      </c>
      <c r="E252">
        <v>0.1215</v>
      </c>
      <c r="F252">
        <v>0.18820000000000001</v>
      </c>
      <c r="G252">
        <v>60</v>
      </c>
      <c r="H252">
        <v>80</v>
      </c>
      <c r="I252">
        <v>43</v>
      </c>
      <c r="J252">
        <v>1</v>
      </c>
      <c r="K252">
        <v>24.707999999999998</v>
      </c>
    </row>
    <row r="253" spans="1:11">
      <c r="A253">
        <v>0.1976</v>
      </c>
      <c r="B253">
        <v>0.1641</v>
      </c>
      <c r="C253">
        <v>0.15840000000000001</v>
      </c>
      <c r="D253">
        <v>2.8899999999999999E-2</v>
      </c>
      <c r="E253">
        <v>0.3735</v>
      </c>
      <c r="F253">
        <v>7.7399999999999997E-2</v>
      </c>
      <c r="G253">
        <v>80</v>
      </c>
      <c r="H253">
        <v>110</v>
      </c>
      <c r="I253">
        <v>34</v>
      </c>
      <c r="J253">
        <v>1</v>
      </c>
      <c r="K253">
        <v>15.808</v>
      </c>
    </row>
    <row r="254" spans="1:11">
      <c r="A254">
        <v>0.2167</v>
      </c>
      <c r="B254">
        <v>0.13730000000000001</v>
      </c>
      <c r="C254">
        <v>0.1196</v>
      </c>
      <c r="D254">
        <v>1.4200000000000001E-2</v>
      </c>
      <c r="E254">
        <v>0.21329999999999999</v>
      </c>
      <c r="F254">
        <v>0.29899999999999999</v>
      </c>
      <c r="G254">
        <v>100</v>
      </c>
      <c r="H254">
        <v>140</v>
      </c>
      <c r="I254">
        <v>38</v>
      </c>
      <c r="J254">
        <v>1</v>
      </c>
      <c r="K254">
        <v>21.67</v>
      </c>
    </row>
    <row r="255" spans="1:11">
      <c r="A255">
        <v>0.18029999999999999</v>
      </c>
      <c r="B255">
        <v>7.1900000000000006E-2</v>
      </c>
      <c r="C255">
        <v>0.1759</v>
      </c>
      <c r="D255">
        <v>1.47E-2</v>
      </c>
      <c r="E255">
        <v>3.9E-2</v>
      </c>
      <c r="F255">
        <v>0.51819999999999999</v>
      </c>
      <c r="G255">
        <v>150</v>
      </c>
      <c r="H255">
        <v>140</v>
      </c>
      <c r="I255">
        <v>43</v>
      </c>
      <c r="J255">
        <v>2</v>
      </c>
      <c r="K255">
        <v>27.045000000000002</v>
      </c>
    </row>
    <row r="256" spans="1:11">
      <c r="A256">
        <v>0.61839999999999995</v>
      </c>
      <c r="B256">
        <v>0.1244</v>
      </c>
      <c r="C256">
        <v>0</v>
      </c>
      <c r="D256">
        <v>0.10290000000000001</v>
      </c>
      <c r="E256">
        <v>6.3E-3</v>
      </c>
      <c r="F256">
        <v>0.14799999999999999</v>
      </c>
      <c r="G256">
        <v>70</v>
      </c>
      <c r="H256">
        <v>90</v>
      </c>
      <c r="I256">
        <v>29</v>
      </c>
      <c r="J256">
        <v>1</v>
      </c>
      <c r="K256">
        <v>43.287999999999997</v>
      </c>
    </row>
    <row r="257" spans="1:11">
      <c r="A257">
        <v>0.29570000000000002</v>
      </c>
      <c r="B257">
        <v>0.10100000000000001</v>
      </c>
      <c r="C257">
        <v>4.8300000000000003E-2</v>
      </c>
      <c r="D257">
        <v>2.0199999999999999E-2</v>
      </c>
      <c r="E257">
        <v>0.29389999999999999</v>
      </c>
      <c r="F257">
        <v>0.24099999999999999</v>
      </c>
      <c r="G257">
        <v>150</v>
      </c>
      <c r="H257">
        <v>140</v>
      </c>
      <c r="I257">
        <v>32</v>
      </c>
      <c r="J257">
        <v>2</v>
      </c>
      <c r="K257">
        <v>44.354999999999997</v>
      </c>
    </row>
    <row r="258" spans="1:11">
      <c r="A258">
        <v>0.38679999999999998</v>
      </c>
      <c r="B258">
        <v>5.0299999999999997E-2</v>
      </c>
      <c r="C258">
        <v>0.10920000000000001</v>
      </c>
      <c r="D258">
        <v>0.21260000000000001</v>
      </c>
      <c r="E258">
        <v>9.4E-2</v>
      </c>
      <c r="F258">
        <v>0.14699999999999999</v>
      </c>
      <c r="G258">
        <v>90</v>
      </c>
      <c r="H258">
        <v>180</v>
      </c>
      <c r="I258">
        <v>44</v>
      </c>
      <c r="J258">
        <v>1</v>
      </c>
      <c r="K258">
        <v>34.811999999999998</v>
      </c>
    </row>
    <row r="259" spans="1:11">
      <c r="A259">
        <v>0.3422</v>
      </c>
      <c r="B259">
        <v>0.1082</v>
      </c>
      <c r="C259">
        <v>3.1699999999999999E-2</v>
      </c>
      <c r="D259">
        <v>0</v>
      </c>
      <c r="E259">
        <v>0.30309999999999998</v>
      </c>
      <c r="F259">
        <v>0.21490000000000001</v>
      </c>
      <c r="G259">
        <v>70</v>
      </c>
      <c r="H259">
        <v>140</v>
      </c>
      <c r="I259">
        <v>31</v>
      </c>
      <c r="J259">
        <v>2</v>
      </c>
      <c r="K259">
        <v>23.954000000000001</v>
      </c>
    </row>
    <row r="260" spans="1:11">
      <c r="A260">
        <v>0.41510000000000002</v>
      </c>
      <c r="B260">
        <v>5.0599999999999999E-2</v>
      </c>
      <c r="C260">
        <v>2.53E-2</v>
      </c>
      <c r="D260">
        <v>6.5699999999999995E-2</v>
      </c>
      <c r="E260">
        <v>0.1454</v>
      </c>
      <c r="F260">
        <v>0.2979</v>
      </c>
      <c r="G260">
        <v>90</v>
      </c>
      <c r="H260">
        <v>100</v>
      </c>
      <c r="I260">
        <v>37</v>
      </c>
      <c r="J260">
        <v>2</v>
      </c>
      <c r="K260">
        <v>37.359000000000002</v>
      </c>
    </row>
    <row r="261" spans="1:11">
      <c r="A261">
        <v>0.27229999999999999</v>
      </c>
      <c r="B261">
        <v>9.2499999999999999E-2</v>
      </c>
      <c r="C261">
        <v>0.12</v>
      </c>
      <c r="D261">
        <v>0.1573</v>
      </c>
      <c r="E261">
        <v>0.1401</v>
      </c>
      <c r="F261">
        <v>0.21779999999999999</v>
      </c>
      <c r="G261">
        <v>100</v>
      </c>
      <c r="H261">
        <v>150</v>
      </c>
      <c r="I261">
        <v>35</v>
      </c>
      <c r="J261">
        <v>2</v>
      </c>
      <c r="K261">
        <v>27.23</v>
      </c>
    </row>
    <row r="262" spans="1:11">
      <c r="A262">
        <v>0.20549999999999999</v>
      </c>
      <c r="B262">
        <v>9.7299999999999998E-2</v>
      </c>
      <c r="C262">
        <v>4.9700000000000001E-2</v>
      </c>
      <c r="D262">
        <v>6.8400000000000002E-2</v>
      </c>
      <c r="E262">
        <v>0.4239</v>
      </c>
      <c r="F262">
        <v>0.1552</v>
      </c>
      <c r="G262">
        <v>160</v>
      </c>
      <c r="H262">
        <v>180</v>
      </c>
      <c r="I262">
        <v>30</v>
      </c>
      <c r="J262">
        <v>1</v>
      </c>
      <c r="K262">
        <v>32.880000000000003</v>
      </c>
    </row>
    <row r="263" spans="1:11">
      <c r="A263">
        <v>0.15279999999999999</v>
      </c>
      <c r="B263">
        <v>0.43469999999999998</v>
      </c>
      <c r="C263">
        <v>3.0000000000000001E-3</v>
      </c>
      <c r="D263">
        <v>2.64E-2</v>
      </c>
      <c r="E263">
        <v>4.7100000000000003E-2</v>
      </c>
      <c r="F263">
        <v>0.33600000000000002</v>
      </c>
      <c r="G263">
        <v>150</v>
      </c>
      <c r="H263">
        <v>260</v>
      </c>
      <c r="I263">
        <v>27</v>
      </c>
      <c r="J263">
        <v>2</v>
      </c>
      <c r="K263">
        <v>22.92</v>
      </c>
    </row>
    <row r="264" spans="1:11">
      <c r="A264">
        <v>0.26079999999999998</v>
      </c>
      <c r="B264">
        <v>3.95E-2</v>
      </c>
      <c r="C264">
        <v>0.2278</v>
      </c>
      <c r="D264">
        <v>9.4999999999999998E-3</v>
      </c>
      <c r="E264">
        <v>6.1100000000000002E-2</v>
      </c>
      <c r="F264">
        <v>0.40129999999999999</v>
      </c>
      <c r="G264">
        <v>100</v>
      </c>
      <c r="H264">
        <v>100</v>
      </c>
      <c r="I264">
        <v>24</v>
      </c>
      <c r="J264">
        <v>2</v>
      </c>
      <c r="K264">
        <v>26.08</v>
      </c>
    </row>
    <row r="265" spans="1:11">
      <c r="A265">
        <v>0.30669999999999997</v>
      </c>
      <c r="B265">
        <v>8.5599999999999996E-2</v>
      </c>
      <c r="C265">
        <v>0.17150000000000001</v>
      </c>
      <c r="D265">
        <v>3.4700000000000002E-2</v>
      </c>
      <c r="E265">
        <v>8.1699999999999995E-2</v>
      </c>
      <c r="F265">
        <v>0.31969999999999998</v>
      </c>
      <c r="G265">
        <v>120</v>
      </c>
      <c r="H265">
        <v>160</v>
      </c>
      <c r="I265">
        <v>31</v>
      </c>
      <c r="J265">
        <v>2</v>
      </c>
      <c r="K265">
        <v>36.804000000000002</v>
      </c>
    </row>
    <row r="266" spans="1:11">
      <c r="A266">
        <v>0.28989999999999999</v>
      </c>
      <c r="B266">
        <v>0.21360000000000001</v>
      </c>
      <c r="C266">
        <v>7.8700000000000006E-2</v>
      </c>
      <c r="D266">
        <v>2.1299999999999999E-2</v>
      </c>
      <c r="E266">
        <v>0.10539999999999999</v>
      </c>
      <c r="F266">
        <v>0.29099999999999998</v>
      </c>
      <c r="G266">
        <v>60</v>
      </c>
      <c r="H266">
        <v>100</v>
      </c>
      <c r="I266">
        <v>24</v>
      </c>
      <c r="J266">
        <v>1</v>
      </c>
      <c r="K266">
        <v>17.393999999999998</v>
      </c>
    </row>
    <row r="267" spans="1:11">
      <c r="A267">
        <v>0.59250000000000003</v>
      </c>
      <c r="B267">
        <v>0.12670000000000001</v>
      </c>
      <c r="C267">
        <v>0</v>
      </c>
      <c r="D267">
        <v>0.1024</v>
      </c>
      <c r="E267">
        <v>0</v>
      </c>
      <c r="F267">
        <v>0.1784</v>
      </c>
      <c r="G267">
        <v>40</v>
      </c>
      <c r="H267">
        <v>60</v>
      </c>
      <c r="I267">
        <v>49</v>
      </c>
      <c r="J267">
        <v>2</v>
      </c>
      <c r="K267">
        <v>23.7</v>
      </c>
    </row>
    <row r="268" spans="1:11">
      <c r="A268">
        <v>0.36919999999999997</v>
      </c>
      <c r="B268">
        <v>7.8200000000000006E-2</v>
      </c>
      <c r="C268">
        <v>8.0500000000000002E-2</v>
      </c>
      <c r="D268">
        <v>6.0199999999999997E-2</v>
      </c>
      <c r="E268">
        <v>0.13120000000000001</v>
      </c>
      <c r="F268">
        <v>0.28070000000000001</v>
      </c>
      <c r="G268">
        <v>80</v>
      </c>
      <c r="H268">
        <v>160</v>
      </c>
      <c r="I268">
        <v>28</v>
      </c>
      <c r="J268">
        <v>1</v>
      </c>
      <c r="K268">
        <v>29.536000000000001</v>
      </c>
    </row>
    <row r="269" spans="1:11">
      <c r="A269">
        <v>0.246</v>
      </c>
      <c r="B269">
        <v>8.3400000000000002E-2</v>
      </c>
      <c r="C269">
        <v>0.14380000000000001</v>
      </c>
      <c r="D269">
        <v>6.6299999999999998E-2</v>
      </c>
      <c r="E269">
        <v>0.16</v>
      </c>
      <c r="F269">
        <v>0.30049999999999999</v>
      </c>
      <c r="G269">
        <v>100</v>
      </c>
      <c r="H269">
        <v>140</v>
      </c>
      <c r="I269">
        <v>37</v>
      </c>
      <c r="J269">
        <v>1</v>
      </c>
      <c r="K269">
        <v>24.6</v>
      </c>
    </row>
    <row r="270" spans="1:11">
      <c r="A270">
        <v>0.39760000000000001</v>
      </c>
      <c r="B270">
        <v>0.19320000000000001</v>
      </c>
      <c r="C270">
        <v>9.9199999999999997E-2</v>
      </c>
      <c r="D270">
        <v>0</v>
      </c>
      <c r="E270">
        <v>0.1134</v>
      </c>
      <c r="F270">
        <v>0.1966</v>
      </c>
      <c r="G270">
        <v>80</v>
      </c>
      <c r="H270">
        <v>100</v>
      </c>
      <c r="I270">
        <v>40</v>
      </c>
      <c r="J270">
        <v>2</v>
      </c>
      <c r="K270">
        <v>31.808</v>
      </c>
    </row>
    <row r="271" spans="1:11">
      <c r="A271">
        <v>0.33989999999999998</v>
      </c>
      <c r="B271">
        <v>9.5399999999999999E-2</v>
      </c>
      <c r="C271">
        <v>0.14580000000000001</v>
      </c>
      <c r="D271">
        <v>9.0700000000000003E-2</v>
      </c>
      <c r="E271">
        <v>9.7900000000000001E-2</v>
      </c>
      <c r="F271">
        <v>0.23019999999999999</v>
      </c>
      <c r="G271">
        <v>90</v>
      </c>
      <c r="H271">
        <v>160</v>
      </c>
      <c r="I271">
        <v>25</v>
      </c>
      <c r="J271">
        <v>2</v>
      </c>
      <c r="K271">
        <v>30.591000000000001</v>
      </c>
    </row>
    <row r="272" spans="1:11">
      <c r="A272">
        <v>0.26679999999999998</v>
      </c>
      <c r="B272">
        <v>0.10050000000000001</v>
      </c>
      <c r="C272">
        <v>4.5100000000000001E-2</v>
      </c>
      <c r="D272">
        <v>4.6100000000000002E-2</v>
      </c>
      <c r="E272">
        <v>0.28210000000000002</v>
      </c>
      <c r="F272">
        <v>0.25940000000000002</v>
      </c>
      <c r="G272">
        <v>110</v>
      </c>
      <c r="H272">
        <v>130</v>
      </c>
      <c r="I272">
        <v>43</v>
      </c>
      <c r="J272">
        <v>1</v>
      </c>
      <c r="K272">
        <v>29.347999999999999</v>
      </c>
    </row>
    <row r="273" spans="1:11">
      <c r="A273">
        <v>0.50790000000000002</v>
      </c>
      <c r="B273">
        <v>0.10059999999999999</v>
      </c>
      <c r="C273">
        <v>7.9100000000000004E-2</v>
      </c>
      <c r="D273">
        <v>5.8099999999999999E-2</v>
      </c>
      <c r="E273">
        <v>0.15040000000000001</v>
      </c>
      <c r="F273">
        <v>0.104</v>
      </c>
      <c r="G273">
        <v>70</v>
      </c>
      <c r="H273">
        <v>110</v>
      </c>
      <c r="I273">
        <v>31</v>
      </c>
      <c r="J273">
        <v>2</v>
      </c>
      <c r="K273">
        <v>35.552999999999997</v>
      </c>
    </row>
    <row r="274" spans="1:11">
      <c r="A274">
        <v>0.33889999999999998</v>
      </c>
      <c r="B274">
        <v>0.1148</v>
      </c>
      <c r="C274">
        <v>7.6899999999999996E-2</v>
      </c>
      <c r="D274">
        <v>0.13600000000000001</v>
      </c>
      <c r="E274">
        <v>0.1368</v>
      </c>
      <c r="F274">
        <v>0.19670000000000001</v>
      </c>
      <c r="G274">
        <v>90</v>
      </c>
      <c r="H274">
        <v>100</v>
      </c>
      <c r="I274">
        <v>36</v>
      </c>
      <c r="J274">
        <v>2</v>
      </c>
      <c r="K274">
        <v>30.501000000000001</v>
      </c>
    </row>
    <row r="275" spans="1:11">
      <c r="A275">
        <v>0.39860000000000001</v>
      </c>
      <c r="B275">
        <v>0.20069999999999999</v>
      </c>
      <c r="C275">
        <v>0</v>
      </c>
      <c r="D275">
        <v>0</v>
      </c>
      <c r="E275">
        <v>0.21879999999999999</v>
      </c>
      <c r="F275">
        <v>0.18179999999999999</v>
      </c>
      <c r="G275">
        <v>50</v>
      </c>
      <c r="H275">
        <v>100</v>
      </c>
      <c r="I275">
        <v>22</v>
      </c>
      <c r="J275">
        <v>2</v>
      </c>
      <c r="K275">
        <v>19.93</v>
      </c>
    </row>
    <row r="276" spans="1:11">
      <c r="A276">
        <v>0.36009999999999998</v>
      </c>
      <c r="B276">
        <v>5.9700000000000003E-2</v>
      </c>
      <c r="C276">
        <v>8.6099999999999996E-2</v>
      </c>
      <c r="D276">
        <v>7.7999999999999996E-3</v>
      </c>
      <c r="E276">
        <v>8.6599999999999996E-2</v>
      </c>
      <c r="F276">
        <v>0.3997</v>
      </c>
      <c r="G276">
        <v>120</v>
      </c>
      <c r="H276">
        <v>180</v>
      </c>
      <c r="I276">
        <v>37</v>
      </c>
      <c r="J276">
        <v>1</v>
      </c>
      <c r="K276">
        <v>43.212000000000003</v>
      </c>
    </row>
    <row r="277" spans="1:11">
      <c r="A277">
        <v>0.4083</v>
      </c>
      <c r="B277">
        <v>9.7199999999999995E-2</v>
      </c>
      <c r="C277">
        <v>3.2000000000000002E-3</v>
      </c>
      <c r="D277">
        <v>7.4200000000000002E-2</v>
      </c>
      <c r="E277">
        <v>0.1195</v>
      </c>
      <c r="F277">
        <v>0.29770000000000002</v>
      </c>
      <c r="G277">
        <v>80</v>
      </c>
      <c r="H277">
        <v>180</v>
      </c>
      <c r="I277">
        <v>42</v>
      </c>
      <c r="J277">
        <v>1</v>
      </c>
      <c r="K277">
        <v>32.664000000000001</v>
      </c>
    </row>
    <row r="278" spans="1:11">
      <c r="A278">
        <v>0.31769999999999998</v>
      </c>
      <c r="B278">
        <v>0.12570000000000001</v>
      </c>
      <c r="C278">
        <v>0.17349999999999999</v>
      </c>
      <c r="D278">
        <v>0</v>
      </c>
      <c r="E278">
        <v>0.22120000000000001</v>
      </c>
      <c r="F278">
        <v>0.16189999999999999</v>
      </c>
      <c r="G278">
        <v>70</v>
      </c>
      <c r="H278">
        <v>100</v>
      </c>
      <c r="I278">
        <v>37</v>
      </c>
      <c r="J278">
        <v>2</v>
      </c>
      <c r="K278">
        <v>22.239000000000001</v>
      </c>
    </row>
    <row r="279" spans="1:11">
      <c r="A279">
        <v>0.2243</v>
      </c>
      <c r="B279">
        <v>9.0399999999999994E-2</v>
      </c>
      <c r="C279">
        <v>9.0700000000000003E-2</v>
      </c>
      <c r="D279">
        <v>3.3300000000000003E-2</v>
      </c>
      <c r="E279">
        <v>0.13</v>
      </c>
      <c r="F279">
        <v>0.43140000000000001</v>
      </c>
      <c r="G279">
        <v>150</v>
      </c>
      <c r="H279">
        <v>170</v>
      </c>
      <c r="I279">
        <v>51</v>
      </c>
      <c r="J279">
        <v>2</v>
      </c>
      <c r="K279">
        <v>33.645000000000003</v>
      </c>
    </row>
    <row r="280" spans="1:11">
      <c r="A280">
        <v>0.58899999999999997</v>
      </c>
      <c r="B280">
        <v>8.1299999999999997E-2</v>
      </c>
      <c r="C280">
        <v>0.04</v>
      </c>
      <c r="D280">
        <v>7.9000000000000008E-3</v>
      </c>
      <c r="E280">
        <v>9.9199999999999997E-2</v>
      </c>
      <c r="F280">
        <v>0.18240000000000001</v>
      </c>
      <c r="G280">
        <v>100</v>
      </c>
      <c r="H280">
        <v>170</v>
      </c>
      <c r="I280">
        <v>39</v>
      </c>
      <c r="J280">
        <v>2</v>
      </c>
      <c r="K280">
        <v>58.9</v>
      </c>
    </row>
    <row r="281" spans="1:11">
      <c r="A281">
        <v>0.36309999999999998</v>
      </c>
      <c r="B281">
        <v>0.18770000000000001</v>
      </c>
      <c r="C281">
        <v>0.13250000000000001</v>
      </c>
      <c r="D281">
        <v>6.2199999999999998E-2</v>
      </c>
      <c r="E281">
        <v>0.13619999999999999</v>
      </c>
      <c r="F281">
        <v>0.11840000000000001</v>
      </c>
      <c r="G281">
        <v>70</v>
      </c>
      <c r="H281">
        <v>130</v>
      </c>
      <c r="I281">
        <v>38</v>
      </c>
      <c r="J281">
        <v>2</v>
      </c>
      <c r="K281">
        <v>25.417000000000002</v>
      </c>
    </row>
    <row r="282" spans="1:11">
      <c r="A282">
        <v>0.36530000000000001</v>
      </c>
      <c r="B282">
        <v>0.14360000000000001</v>
      </c>
      <c r="C282">
        <v>3.32E-2</v>
      </c>
      <c r="D282">
        <v>0.14199999999999999</v>
      </c>
      <c r="E282">
        <v>0.12089999999999999</v>
      </c>
      <c r="F282">
        <v>0.19500000000000001</v>
      </c>
      <c r="G282">
        <v>60</v>
      </c>
      <c r="H282">
        <v>120</v>
      </c>
      <c r="I282">
        <v>36</v>
      </c>
      <c r="J282">
        <v>1</v>
      </c>
      <c r="K282">
        <v>21.917999999999999</v>
      </c>
    </row>
    <row r="283" spans="1:11">
      <c r="A283">
        <v>0.26600000000000001</v>
      </c>
      <c r="B283">
        <v>8.8900000000000007E-2</v>
      </c>
      <c r="C283">
        <v>8.3900000000000002E-2</v>
      </c>
      <c r="D283">
        <v>6.7000000000000002E-3</v>
      </c>
      <c r="E283">
        <v>4.9299999999999997E-2</v>
      </c>
      <c r="F283">
        <v>0.50519999999999998</v>
      </c>
      <c r="G283">
        <v>130</v>
      </c>
      <c r="H283">
        <v>140</v>
      </c>
      <c r="I283">
        <v>34</v>
      </c>
      <c r="J283">
        <v>2</v>
      </c>
      <c r="K283">
        <v>34.58</v>
      </c>
    </row>
    <row r="284" spans="1:11">
      <c r="A284">
        <v>0.25490000000000002</v>
      </c>
      <c r="B284">
        <v>8.77E-2</v>
      </c>
      <c r="C284">
        <v>0.1406</v>
      </c>
      <c r="D284">
        <v>0.2351</v>
      </c>
      <c r="E284">
        <v>5.33E-2</v>
      </c>
      <c r="F284">
        <v>0.22850000000000001</v>
      </c>
      <c r="G284">
        <v>190</v>
      </c>
      <c r="H284">
        <v>290</v>
      </c>
      <c r="I284">
        <v>38</v>
      </c>
      <c r="J284">
        <v>2</v>
      </c>
      <c r="K284">
        <v>48.430999999999997</v>
      </c>
    </row>
    <row r="285" spans="1:11">
      <c r="A285">
        <v>0.45579999999999998</v>
      </c>
      <c r="B285">
        <v>5.3699999999999998E-2</v>
      </c>
      <c r="C285">
        <v>0.21990000000000001</v>
      </c>
      <c r="D285">
        <v>1.6E-2</v>
      </c>
      <c r="E285">
        <v>7.1599999999999997E-2</v>
      </c>
      <c r="F285">
        <v>0.1832</v>
      </c>
      <c r="G285">
        <v>90</v>
      </c>
      <c r="H285">
        <v>120</v>
      </c>
      <c r="I285">
        <v>44</v>
      </c>
      <c r="J285">
        <v>2</v>
      </c>
      <c r="K285">
        <v>41.021999999999998</v>
      </c>
    </row>
    <row r="286" spans="1:11">
      <c r="A286">
        <v>0.29260000000000003</v>
      </c>
      <c r="B286">
        <v>6.6799999999999998E-2</v>
      </c>
      <c r="C286">
        <v>0.1409</v>
      </c>
      <c r="D286">
        <v>0.1132</v>
      </c>
      <c r="E286">
        <v>0.1111</v>
      </c>
      <c r="F286">
        <v>0.27539999999999998</v>
      </c>
      <c r="G286">
        <v>100</v>
      </c>
      <c r="H286">
        <v>150</v>
      </c>
      <c r="I286">
        <v>29</v>
      </c>
      <c r="J286">
        <v>1</v>
      </c>
      <c r="K286">
        <v>29.26</v>
      </c>
    </row>
    <row r="287" spans="1:11">
      <c r="A287">
        <v>0.30270000000000002</v>
      </c>
      <c r="B287">
        <v>0.109</v>
      </c>
      <c r="C287">
        <v>3.6499999999999998E-2</v>
      </c>
      <c r="D287">
        <v>3.6299999999999999E-2</v>
      </c>
      <c r="E287">
        <v>0.24970000000000001</v>
      </c>
      <c r="F287">
        <v>0.26579999999999998</v>
      </c>
      <c r="G287">
        <v>90</v>
      </c>
      <c r="H287">
        <v>120</v>
      </c>
      <c r="I287">
        <v>41</v>
      </c>
      <c r="J287">
        <v>2</v>
      </c>
      <c r="K287">
        <v>27.242999999999999</v>
      </c>
    </row>
    <row r="288" spans="1:11">
      <c r="A288">
        <v>0.39560000000000001</v>
      </c>
      <c r="B288">
        <v>0.12559999999999999</v>
      </c>
      <c r="C288">
        <v>4.99E-2</v>
      </c>
      <c r="D288">
        <v>0</v>
      </c>
      <c r="E288">
        <v>0.24740000000000001</v>
      </c>
      <c r="F288">
        <v>0.18160000000000001</v>
      </c>
      <c r="G288">
        <v>70</v>
      </c>
      <c r="H288">
        <v>90</v>
      </c>
      <c r="I288">
        <v>41</v>
      </c>
      <c r="J288">
        <v>1</v>
      </c>
      <c r="K288">
        <v>27.692</v>
      </c>
    </row>
    <row r="289" spans="1:11">
      <c r="A289">
        <v>0.43</v>
      </c>
      <c r="B289">
        <v>0.12989999999999999</v>
      </c>
      <c r="C289">
        <v>0.254</v>
      </c>
      <c r="D289">
        <v>2.5000000000000001E-3</v>
      </c>
      <c r="E289">
        <v>5.4000000000000003E-3</v>
      </c>
      <c r="F289">
        <v>0.1782</v>
      </c>
      <c r="G289">
        <v>70</v>
      </c>
      <c r="H289">
        <v>90</v>
      </c>
      <c r="I289">
        <v>32</v>
      </c>
      <c r="J289">
        <v>2</v>
      </c>
      <c r="K289">
        <v>30.1</v>
      </c>
    </row>
    <row r="290" spans="1:11">
      <c r="A290">
        <v>0.33979999999999999</v>
      </c>
      <c r="B290">
        <v>0.1439</v>
      </c>
      <c r="C290">
        <v>5.4000000000000003E-3</v>
      </c>
      <c r="D290">
        <v>0.02</v>
      </c>
      <c r="E290">
        <v>0.29830000000000001</v>
      </c>
      <c r="F290">
        <v>0.19270000000000001</v>
      </c>
      <c r="G290">
        <v>60</v>
      </c>
      <c r="H290">
        <v>100</v>
      </c>
      <c r="I290">
        <v>29</v>
      </c>
      <c r="J290">
        <v>1</v>
      </c>
      <c r="K290">
        <v>20.388000000000002</v>
      </c>
    </row>
    <row r="291" spans="1:11">
      <c r="A291">
        <v>0.32300000000000001</v>
      </c>
      <c r="B291">
        <v>9.0700000000000003E-2</v>
      </c>
      <c r="C291">
        <v>4.5900000000000003E-2</v>
      </c>
      <c r="D291">
        <v>7.8200000000000006E-2</v>
      </c>
      <c r="E291">
        <v>0.32129999999999997</v>
      </c>
      <c r="F291">
        <v>0.1409</v>
      </c>
      <c r="G291">
        <v>60</v>
      </c>
      <c r="H291">
        <v>100</v>
      </c>
      <c r="I291">
        <v>30</v>
      </c>
      <c r="J291">
        <v>1</v>
      </c>
      <c r="K291">
        <v>19.38</v>
      </c>
    </row>
    <row r="292" spans="1:11">
      <c r="A292">
        <v>0.35909999999999997</v>
      </c>
      <c r="B292">
        <v>7.5200000000000003E-2</v>
      </c>
      <c r="C292">
        <v>0.23089999999999999</v>
      </c>
      <c r="D292">
        <v>9.1999999999999998E-2</v>
      </c>
      <c r="E292">
        <v>0.1467</v>
      </c>
      <c r="F292">
        <v>9.6000000000000002E-2</v>
      </c>
      <c r="G292">
        <v>110</v>
      </c>
      <c r="H292">
        <v>170</v>
      </c>
      <c r="I292">
        <v>35</v>
      </c>
      <c r="J292">
        <v>2</v>
      </c>
      <c r="K292">
        <v>39.500999999999998</v>
      </c>
    </row>
    <row r="293" spans="1:11">
      <c r="A293">
        <v>0.59340000000000004</v>
      </c>
      <c r="B293">
        <v>8.5500000000000007E-2</v>
      </c>
      <c r="C293">
        <v>3.8999999999999998E-3</v>
      </c>
      <c r="D293">
        <v>2.5100000000000001E-2</v>
      </c>
      <c r="E293">
        <v>0.1019</v>
      </c>
      <c r="F293">
        <v>0.19020000000000001</v>
      </c>
      <c r="G293">
        <v>70</v>
      </c>
      <c r="H293">
        <v>90</v>
      </c>
      <c r="I293">
        <v>54</v>
      </c>
      <c r="J293">
        <v>1</v>
      </c>
      <c r="K293">
        <v>41.537999999999997</v>
      </c>
    </row>
    <row r="294" spans="1:11">
      <c r="A294">
        <v>0.36030000000000001</v>
      </c>
      <c r="B294">
        <v>0.19020000000000001</v>
      </c>
      <c r="C294">
        <v>5.5800000000000002E-2</v>
      </c>
      <c r="D294">
        <v>0</v>
      </c>
      <c r="E294">
        <v>0.1802</v>
      </c>
      <c r="F294">
        <v>0.2135</v>
      </c>
      <c r="G294">
        <v>60</v>
      </c>
      <c r="H294">
        <v>110</v>
      </c>
      <c r="I294">
        <v>25</v>
      </c>
      <c r="J294">
        <v>1</v>
      </c>
      <c r="K294">
        <v>21.617999999999999</v>
      </c>
    </row>
    <row r="295" spans="1:11">
      <c r="A295">
        <v>0.3594</v>
      </c>
      <c r="B295">
        <v>7.0099999999999996E-2</v>
      </c>
      <c r="C295">
        <v>3.0599999999999999E-2</v>
      </c>
      <c r="D295">
        <v>0.1736</v>
      </c>
      <c r="E295">
        <v>0.13780000000000001</v>
      </c>
      <c r="F295">
        <v>0.22850000000000001</v>
      </c>
      <c r="G295">
        <v>120</v>
      </c>
      <c r="H295">
        <v>190</v>
      </c>
      <c r="I295">
        <v>43</v>
      </c>
      <c r="J295">
        <v>1</v>
      </c>
      <c r="K295">
        <v>43.128</v>
      </c>
    </row>
    <row r="296" spans="1:11">
      <c r="A296">
        <v>0.34539999999999998</v>
      </c>
      <c r="B296">
        <v>0.12139999999999999</v>
      </c>
      <c r="C296">
        <v>2.41E-2</v>
      </c>
      <c r="D296">
        <v>0</v>
      </c>
      <c r="E296">
        <v>0.1167</v>
      </c>
      <c r="F296">
        <v>0.39240000000000003</v>
      </c>
      <c r="G296">
        <v>90</v>
      </c>
      <c r="H296">
        <v>30</v>
      </c>
      <c r="I296">
        <v>37</v>
      </c>
      <c r="J296">
        <v>2</v>
      </c>
      <c r="K296">
        <v>31.085999999999999</v>
      </c>
    </row>
    <row r="297" spans="1:11">
      <c r="A297">
        <v>0.3599</v>
      </c>
      <c r="B297">
        <v>9.2899999999999996E-2</v>
      </c>
      <c r="C297">
        <v>7.4000000000000003E-3</v>
      </c>
      <c r="D297">
        <v>0.1086</v>
      </c>
      <c r="E297">
        <v>8.1299999999999997E-2</v>
      </c>
      <c r="F297">
        <v>0.35</v>
      </c>
      <c r="G297">
        <v>70</v>
      </c>
      <c r="H297">
        <v>90</v>
      </c>
      <c r="I297">
        <v>40</v>
      </c>
      <c r="J297">
        <v>1</v>
      </c>
      <c r="K297">
        <v>25.193000000000001</v>
      </c>
    </row>
    <row r="298" spans="1:11">
      <c r="A298">
        <v>0.4153</v>
      </c>
      <c r="B298">
        <v>0.1522</v>
      </c>
      <c r="C298">
        <v>2.47E-2</v>
      </c>
      <c r="D298">
        <v>0</v>
      </c>
      <c r="E298">
        <v>0.1406</v>
      </c>
      <c r="F298">
        <v>0.26719999999999999</v>
      </c>
      <c r="G298">
        <v>80</v>
      </c>
      <c r="H298">
        <v>120</v>
      </c>
      <c r="I298">
        <v>30</v>
      </c>
      <c r="J298">
        <v>2</v>
      </c>
      <c r="K298">
        <v>33.223999999999997</v>
      </c>
    </row>
    <row r="299" spans="1:11">
      <c r="A299">
        <v>0.34720000000000001</v>
      </c>
      <c r="B299">
        <v>0.13039999999999999</v>
      </c>
      <c r="C299">
        <v>2.5499999999999998E-2</v>
      </c>
      <c r="D299">
        <v>0</v>
      </c>
      <c r="E299">
        <v>6.1499999999999999E-2</v>
      </c>
      <c r="F299">
        <v>0.43540000000000001</v>
      </c>
      <c r="G299">
        <v>70</v>
      </c>
      <c r="H299">
        <v>100</v>
      </c>
      <c r="I299">
        <v>35</v>
      </c>
      <c r="J299">
        <v>1</v>
      </c>
      <c r="K299">
        <v>24.303999999999998</v>
      </c>
    </row>
    <row r="300" spans="1:11">
      <c r="A300">
        <v>0.42770000000000002</v>
      </c>
      <c r="B300">
        <v>0.108</v>
      </c>
      <c r="C300">
        <v>7.3899999999999993E-2</v>
      </c>
      <c r="D300">
        <v>0</v>
      </c>
      <c r="E300">
        <v>0.14319999999999999</v>
      </c>
      <c r="F300">
        <v>0.24709999999999999</v>
      </c>
      <c r="G300">
        <v>50</v>
      </c>
      <c r="H300">
        <v>90</v>
      </c>
      <c r="I300">
        <v>25</v>
      </c>
      <c r="J300">
        <v>2</v>
      </c>
      <c r="K300">
        <v>21.385000000000002</v>
      </c>
    </row>
    <row r="301" spans="1:11">
      <c r="A301">
        <v>0.52569999999999995</v>
      </c>
      <c r="B301">
        <v>6.7799999999999999E-2</v>
      </c>
      <c r="C301">
        <v>2.7799999999999998E-2</v>
      </c>
      <c r="D301">
        <v>5.8700000000000002E-2</v>
      </c>
      <c r="E301">
        <v>0.2009</v>
      </c>
      <c r="F301">
        <v>0.1192</v>
      </c>
      <c r="G301">
        <v>80</v>
      </c>
      <c r="H301">
        <v>140</v>
      </c>
      <c r="I301">
        <v>57</v>
      </c>
      <c r="J301">
        <v>2</v>
      </c>
      <c r="K301">
        <v>42.055999999999997</v>
      </c>
    </row>
    <row r="302" spans="1:11">
      <c r="A302">
        <v>0.3569</v>
      </c>
      <c r="B302">
        <v>8.3699999999999997E-2</v>
      </c>
      <c r="C302">
        <v>0.1066</v>
      </c>
      <c r="D302">
        <v>0.1212</v>
      </c>
      <c r="E302">
        <v>9.1300000000000006E-2</v>
      </c>
      <c r="F302">
        <v>0.2402</v>
      </c>
      <c r="G302">
        <v>90</v>
      </c>
      <c r="H302">
        <v>80</v>
      </c>
      <c r="I302">
        <v>32</v>
      </c>
      <c r="J302">
        <v>2</v>
      </c>
      <c r="K302">
        <v>32.121000000000002</v>
      </c>
    </row>
    <row r="303" spans="1:11">
      <c r="A303">
        <v>0.57899999999999996</v>
      </c>
      <c r="B303">
        <v>3.5700000000000003E-2</v>
      </c>
      <c r="C303">
        <v>3.5999999999999999E-3</v>
      </c>
      <c r="D303">
        <v>0.2092</v>
      </c>
      <c r="E303">
        <v>6.8599999999999994E-2</v>
      </c>
      <c r="F303">
        <v>0.10390000000000001</v>
      </c>
      <c r="G303">
        <v>80</v>
      </c>
      <c r="H303">
        <v>70</v>
      </c>
      <c r="I303">
        <v>53</v>
      </c>
      <c r="J303">
        <v>1</v>
      </c>
      <c r="K303">
        <v>46.32</v>
      </c>
    </row>
    <row r="304" spans="1:11">
      <c r="A304">
        <v>0.3392</v>
      </c>
      <c r="B304">
        <v>4.4200000000000003E-2</v>
      </c>
      <c r="C304">
        <v>0.21190000000000001</v>
      </c>
      <c r="D304">
        <v>0.12590000000000001</v>
      </c>
      <c r="E304">
        <v>9.3700000000000006E-2</v>
      </c>
      <c r="F304">
        <v>0.185</v>
      </c>
      <c r="G304">
        <v>100</v>
      </c>
      <c r="H304">
        <v>120</v>
      </c>
      <c r="I304">
        <v>27</v>
      </c>
      <c r="J304">
        <v>2</v>
      </c>
      <c r="K304">
        <v>33.92</v>
      </c>
    </row>
    <row r="305" spans="1:11">
      <c r="A305">
        <v>0.26910000000000001</v>
      </c>
      <c r="B305">
        <v>0.13800000000000001</v>
      </c>
      <c r="C305">
        <v>0.1293</v>
      </c>
      <c r="D305">
        <v>3.04E-2</v>
      </c>
      <c r="E305">
        <v>8.3900000000000002E-2</v>
      </c>
      <c r="F305">
        <v>0.3493</v>
      </c>
      <c r="G305">
        <v>90</v>
      </c>
      <c r="H305">
        <v>100</v>
      </c>
      <c r="I305">
        <v>31</v>
      </c>
      <c r="J305">
        <v>2</v>
      </c>
      <c r="K305">
        <v>24.219000000000001</v>
      </c>
    </row>
    <row r="306" spans="1:11">
      <c r="A306">
        <v>0.4022</v>
      </c>
      <c r="B306">
        <v>8.6599999999999996E-2</v>
      </c>
      <c r="C306">
        <v>0.1089</v>
      </c>
      <c r="D306">
        <v>8.8400000000000006E-2</v>
      </c>
      <c r="E306">
        <v>0.1749</v>
      </c>
      <c r="F306">
        <v>0.1389</v>
      </c>
      <c r="G306">
        <v>100</v>
      </c>
      <c r="H306">
        <v>110</v>
      </c>
      <c r="I306">
        <v>40</v>
      </c>
      <c r="J306">
        <v>1</v>
      </c>
      <c r="K306">
        <v>40.22</v>
      </c>
    </row>
    <row r="307" spans="1:11">
      <c r="A307">
        <v>0.43980000000000002</v>
      </c>
      <c r="B307">
        <v>8.3500000000000005E-2</v>
      </c>
      <c r="C307">
        <v>3.1600000000000003E-2</v>
      </c>
      <c r="D307">
        <v>0</v>
      </c>
      <c r="E307">
        <v>4.0800000000000003E-2</v>
      </c>
      <c r="F307">
        <v>0.40429999999999999</v>
      </c>
      <c r="G307">
        <v>100</v>
      </c>
      <c r="H307">
        <v>110</v>
      </c>
      <c r="I307">
        <v>55</v>
      </c>
      <c r="J307">
        <v>1</v>
      </c>
      <c r="K307">
        <v>43.98</v>
      </c>
    </row>
    <row r="308" spans="1:11">
      <c r="A308">
        <v>0.3427</v>
      </c>
      <c r="B308">
        <v>9.6199999999999994E-2</v>
      </c>
      <c r="C308">
        <v>3.32E-2</v>
      </c>
      <c r="D308">
        <v>0.14879999999999999</v>
      </c>
      <c r="E308">
        <v>8.6999999999999994E-2</v>
      </c>
      <c r="F308">
        <v>0.29220000000000002</v>
      </c>
      <c r="G308">
        <v>100</v>
      </c>
      <c r="H308">
        <v>140</v>
      </c>
      <c r="I308">
        <v>36</v>
      </c>
      <c r="J308">
        <v>2</v>
      </c>
      <c r="K308">
        <v>34.270000000000003</v>
      </c>
    </row>
    <row r="309" spans="1:11">
      <c r="A309">
        <v>0.3085</v>
      </c>
      <c r="B309">
        <v>0.1018</v>
      </c>
      <c r="C309">
        <v>7.3499999999999996E-2</v>
      </c>
      <c r="D309">
        <v>2.8199999999999999E-2</v>
      </c>
      <c r="E309">
        <v>0.19819999999999999</v>
      </c>
      <c r="F309">
        <v>0.28989999999999999</v>
      </c>
      <c r="G309">
        <v>80</v>
      </c>
      <c r="H309">
        <v>130</v>
      </c>
      <c r="I309">
        <v>32</v>
      </c>
      <c r="J309">
        <v>1</v>
      </c>
      <c r="K309">
        <v>24.68</v>
      </c>
    </row>
    <row r="310" spans="1:11">
      <c r="A310">
        <v>0.38080000000000003</v>
      </c>
      <c r="B310">
        <v>0.18210000000000001</v>
      </c>
      <c r="C310">
        <v>0.17100000000000001</v>
      </c>
      <c r="D310">
        <v>7.7499999999999999E-2</v>
      </c>
      <c r="E310">
        <v>1.15E-2</v>
      </c>
      <c r="F310">
        <v>0.1772</v>
      </c>
      <c r="G310">
        <v>60</v>
      </c>
      <c r="H310">
        <v>70</v>
      </c>
      <c r="I310">
        <v>33</v>
      </c>
      <c r="J310">
        <v>2</v>
      </c>
      <c r="K310">
        <v>22.847999999999999</v>
      </c>
    </row>
    <row r="311" spans="1:11">
      <c r="A311">
        <v>0.18110000000000001</v>
      </c>
      <c r="B311">
        <v>0.1137</v>
      </c>
      <c r="C311">
        <v>9.5699999999999993E-2</v>
      </c>
      <c r="D311">
        <v>2.3099999999999999E-2</v>
      </c>
      <c r="E311">
        <v>0.50960000000000005</v>
      </c>
      <c r="F311">
        <v>7.6799999999999993E-2</v>
      </c>
      <c r="G311">
        <v>110</v>
      </c>
      <c r="H311">
        <v>130</v>
      </c>
      <c r="I311">
        <v>38</v>
      </c>
      <c r="J311">
        <v>1</v>
      </c>
      <c r="K311">
        <v>19.920999999999999</v>
      </c>
    </row>
    <row r="312" spans="1:11">
      <c r="A312">
        <v>0.1105</v>
      </c>
      <c r="B312">
        <v>0.1295</v>
      </c>
      <c r="C312">
        <v>0.22559999999999999</v>
      </c>
      <c r="D312">
        <v>6.9599999999999995E-2</v>
      </c>
      <c r="E312">
        <v>0.17630000000000001</v>
      </c>
      <c r="F312">
        <v>0.28849999999999998</v>
      </c>
      <c r="G312">
        <v>70</v>
      </c>
      <c r="H312">
        <v>130</v>
      </c>
      <c r="I312">
        <v>31</v>
      </c>
      <c r="J312">
        <v>1</v>
      </c>
      <c r="K312">
        <v>7.7350000000000003</v>
      </c>
    </row>
    <row r="313" spans="1:11">
      <c r="A313">
        <v>0.28410000000000002</v>
      </c>
      <c r="B313">
        <v>6.9900000000000004E-2</v>
      </c>
      <c r="C313">
        <v>0.19289999999999999</v>
      </c>
      <c r="D313">
        <v>2.06E-2</v>
      </c>
      <c r="E313">
        <v>0.1363</v>
      </c>
      <c r="F313">
        <v>0.29620000000000002</v>
      </c>
      <c r="G313">
        <v>130</v>
      </c>
      <c r="H313">
        <v>160</v>
      </c>
      <c r="I313">
        <v>35</v>
      </c>
      <c r="J313">
        <v>1</v>
      </c>
      <c r="K313">
        <v>36.933</v>
      </c>
    </row>
    <row r="314" spans="1:11">
      <c r="A314">
        <v>0.24429999999999999</v>
      </c>
      <c r="B314">
        <v>0.12889999999999999</v>
      </c>
      <c r="C314">
        <v>3.1E-2</v>
      </c>
      <c r="D314">
        <v>6.0299999999999999E-2</v>
      </c>
      <c r="E314">
        <v>0.308</v>
      </c>
      <c r="F314">
        <v>0.22739999999999999</v>
      </c>
      <c r="G314">
        <v>50</v>
      </c>
      <c r="H314">
        <v>60</v>
      </c>
      <c r="I314">
        <v>32</v>
      </c>
      <c r="J314">
        <v>1</v>
      </c>
      <c r="K314">
        <v>12.215</v>
      </c>
    </row>
    <row r="315" spans="1:11">
      <c r="A315">
        <v>0.36109999999999998</v>
      </c>
      <c r="B315">
        <v>0.12989999999999999</v>
      </c>
      <c r="C315">
        <v>5.7999999999999996E-3</v>
      </c>
      <c r="D315">
        <v>2.75E-2</v>
      </c>
      <c r="E315">
        <v>0.25629999999999997</v>
      </c>
      <c r="F315">
        <v>0.21940000000000001</v>
      </c>
      <c r="G315">
        <v>100</v>
      </c>
      <c r="H315">
        <v>180</v>
      </c>
      <c r="I315">
        <v>42</v>
      </c>
      <c r="J315">
        <v>2</v>
      </c>
      <c r="K315">
        <v>36.11</v>
      </c>
    </row>
    <row r="316" spans="1:11">
      <c r="A316">
        <v>0.19650000000000001</v>
      </c>
      <c r="B316">
        <v>0.192</v>
      </c>
      <c r="C316">
        <v>9.9000000000000005E-2</v>
      </c>
      <c r="D316">
        <v>0.1915</v>
      </c>
      <c r="E316">
        <v>0.1103</v>
      </c>
      <c r="F316">
        <v>0.2109</v>
      </c>
      <c r="G316">
        <v>90</v>
      </c>
      <c r="H316">
        <v>30</v>
      </c>
      <c r="I316">
        <v>34</v>
      </c>
      <c r="J316">
        <v>1</v>
      </c>
      <c r="K316">
        <v>17.684999999999999</v>
      </c>
    </row>
    <row r="317" spans="1:11">
      <c r="A317">
        <v>0.4904</v>
      </c>
      <c r="B317">
        <v>5.04E-2</v>
      </c>
      <c r="C317">
        <v>2.1499999999999998E-2</v>
      </c>
      <c r="D317">
        <v>2.6599999999999999E-2</v>
      </c>
      <c r="E317">
        <v>0.2576</v>
      </c>
      <c r="F317">
        <v>0.15340000000000001</v>
      </c>
      <c r="G317">
        <v>60</v>
      </c>
      <c r="H317">
        <v>130</v>
      </c>
      <c r="I317">
        <v>36</v>
      </c>
      <c r="J317">
        <v>2</v>
      </c>
      <c r="K317">
        <v>29.423999999999999</v>
      </c>
    </row>
    <row r="318" spans="1:11">
      <c r="A318">
        <v>6.5199999999999994E-2</v>
      </c>
      <c r="B318">
        <v>2.2499999999999999E-2</v>
      </c>
      <c r="C318">
        <v>6.7000000000000004E-2</v>
      </c>
      <c r="D318">
        <v>4.5600000000000002E-2</v>
      </c>
      <c r="E318">
        <v>0.11650000000000001</v>
      </c>
      <c r="F318">
        <v>0.68330000000000002</v>
      </c>
      <c r="G318">
        <v>290</v>
      </c>
      <c r="H318">
        <v>170</v>
      </c>
      <c r="I318">
        <v>32</v>
      </c>
      <c r="J318">
        <v>1</v>
      </c>
      <c r="K318">
        <v>18.908000000000001</v>
      </c>
    </row>
    <row r="319" spans="1:11">
      <c r="A319">
        <v>0.29480000000000001</v>
      </c>
      <c r="B319">
        <v>0.249</v>
      </c>
      <c r="C319">
        <v>1.8499999999999999E-2</v>
      </c>
      <c r="D319">
        <v>0</v>
      </c>
      <c r="E319">
        <v>0.26079999999999998</v>
      </c>
      <c r="F319">
        <v>0.1769</v>
      </c>
      <c r="G319">
        <v>50</v>
      </c>
      <c r="H319">
        <v>100</v>
      </c>
      <c r="I319">
        <v>28</v>
      </c>
      <c r="J319">
        <v>1</v>
      </c>
      <c r="K319">
        <v>14.74</v>
      </c>
    </row>
    <row r="320" spans="1:11">
      <c r="A320">
        <v>0.33200000000000002</v>
      </c>
      <c r="B320">
        <v>3.9E-2</v>
      </c>
      <c r="C320">
        <v>8.0000000000000002E-3</v>
      </c>
      <c r="D320">
        <v>0.14749999999999999</v>
      </c>
      <c r="E320">
        <v>0.13389999999999999</v>
      </c>
      <c r="F320">
        <v>0.3397</v>
      </c>
      <c r="G320">
        <v>190</v>
      </c>
      <c r="H320">
        <v>510</v>
      </c>
      <c r="I320">
        <v>35</v>
      </c>
      <c r="J320">
        <v>1</v>
      </c>
      <c r="K320">
        <v>63.08</v>
      </c>
    </row>
    <row r="321" spans="1:11">
      <c r="A321">
        <v>0.443</v>
      </c>
      <c r="B321">
        <v>0.17469999999999999</v>
      </c>
      <c r="C321">
        <v>0.18029999999999999</v>
      </c>
      <c r="D321">
        <v>1.3299999999999999E-2</v>
      </c>
      <c r="E321">
        <v>4.82E-2</v>
      </c>
      <c r="F321">
        <v>0.14069999999999999</v>
      </c>
      <c r="G321">
        <v>60</v>
      </c>
      <c r="H321">
        <v>130</v>
      </c>
      <c r="I321">
        <v>44</v>
      </c>
      <c r="J321">
        <v>2</v>
      </c>
      <c r="K321">
        <v>26.58</v>
      </c>
    </row>
    <row r="322" spans="1:11">
      <c r="A322">
        <v>0.45569999999999999</v>
      </c>
      <c r="B322">
        <v>0.25109999999999999</v>
      </c>
      <c r="C322">
        <v>8.8999999999999996E-2</v>
      </c>
      <c r="D322">
        <v>3.5200000000000002E-2</v>
      </c>
      <c r="E322">
        <v>4.53E-2</v>
      </c>
      <c r="F322">
        <v>0.12379999999999999</v>
      </c>
      <c r="G322">
        <v>50</v>
      </c>
      <c r="H322">
        <v>70</v>
      </c>
      <c r="I322">
        <v>28</v>
      </c>
      <c r="J322">
        <v>1</v>
      </c>
      <c r="K322">
        <v>22.785</v>
      </c>
    </row>
    <row r="323" spans="1:11">
      <c r="A323">
        <v>0.40410000000000001</v>
      </c>
      <c r="B323">
        <v>8.1600000000000006E-2</v>
      </c>
      <c r="C323">
        <v>6.2399999999999997E-2</v>
      </c>
      <c r="D323">
        <v>0.1057</v>
      </c>
      <c r="E323">
        <v>0.16839999999999999</v>
      </c>
      <c r="F323">
        <v>0.1777</v>
      </c>
      <c r="G323">
        <v>50</v>
      </c>
      <c r="H323">
        <v>90</v>
      </c>
      <c r="I323">
        <v>38</v>
      </c>
      <c r="J323">
        <v>2</v>
      </c>
      <c r="K323">
        <v>20.204999999999998</v>
      </c>
    </row>
    <row r="324" spans="1:11">
      <c r="A324">
        <v>0.38279999999999997</v>
      </c>
      <c r="B324">
        <v>0.112</v>
      </c>
      <c r="C324">
        <v>3.8999999999999998E-3</v>
      </c>
      <c r="D324">
        <v>9.4500000000000001E-2</v>
      </c>
      <c r="E324">
        <v>6.9699999999999998E-2</v>
      </c>
      <c r="F324">
        <v>0.33710000000000001</v>
      </c>
      <c r="G324">
        <v>60</v>
      </c>
      <c r="H324">
        <v>80</v>
      </c>
      <c r="I324">
        <v>32</v>
      </c>
      <c r="J324">
        <v>2</v>
      </c>
      <c r="K324">
        <v>22.968</v>
      </c>
    </row>
    <row r="325" spans="1:11">
      <c r="A325">
        <v>0.4461</v>
      </c>
      <c r="B325">
        <v>0.1041</v>
      </c>
      <c r="C325">
        <v>9.3100000000000002E-2</v>
      </c>
      <c r="D325">
        <v>0</v>
      </c>
      <c r="E325">
        <v>9.1999999999999998E-3</v>
      </c>
      <c r="F325">
        <v>0.34749999999999998</v>
      </c>
      <c r="G325">
        <v>110</v>
      </c>
      <c r="H325">
        <v>100</v>
      </c>
      <c r="I325">
        <v>32</v>
      </c>
      <c r="J325">
        <v>2</v>
      </c>
      <c r="K325">
        <v>49.070999999999998</v>
      </c>
    </row>
    <row r="326" spans="1:11">
      <c r="A326">
        <v>0.33960000000000001</v>
      </c>
      <c r="B326">
        <v>5.4699999999999999E-2</v>
      </c>
      <c r="C326">
        <v>0.21829999999999999</v>
      </c>
      <c r="D326">
        <v>4.8300000000000003E-2</v>
      </c>
      <c r="E326">
        <v>0.16239999999999999</v>
      </c>
      <c r="F326">
        <v>0.1767</v>
      </c>
      <c r="G326">
        <v>80</v>
      </c>
      <c r="H326">
        <v>90</v>
      </c>
      <c r="I326">
        <v>27</v>
      </c>
      <c r="J326">
        <v>2</v>
      </c>
      <c r="K326">
        <v>27.167999999999999</v>
      </c>
    </row>
    <row r="327" spans="1:11">
      <c r="A327">
        <v>0.38240000000000002</v>
      </c>
      <c r="B327">
        <v>9.2700000000000005E-2</v>
      </c>
      <c r="C327">
        <v>1.43E-2</v>
      </c>
      <c r="D327">
        <v>0.12230000000000001</v>
      </c>
      <c r="E327">
        <v>0.20100000000000001</v>
      </c>
      <c r="F327">
        <v>0.18729999999999999</v>
      </c>
      <c r="G327">
        <v>70</v>
      </c>
      <c r="H327">
        <v>80</v>
      </c>
      <c r="I327">
        <v>35</v>
      </c>
      <c r="J327">
        <v>2</v>
      </c>
      <c r="K327">
        <v>26.768000000000001</v>
      </c>
    </row>
    <row r="328" spans="1:11">
      <c r="A328">
        <v>0.34820000000000001</v>
      </c>
      <c r="B328">
        <v>0.11609999999999999</v>
      </c>
      <c r="C328">
        <v>3.4500000000000003E-2</v>
      </c>
      <c r="D328">
        <v>4.1200000000000001E-2</v>
      </c>
      <c r="E328">
        <v>0.34789999999999999</v>
      </c>
      <c r="F328">
        <v>0.11210000000000001</v>
      </c>
      <c r="G328">
        <v>140</v>
      </c>
      <c r="H328">
        <v>150</v>
      </c>
      <c r="I328">
        <v>32</v>
      </c>
      <c r="J328">
        <v>2</v>
      </c>
      <c r="K328">
        <v>48.747999999999998</v>
      </c>
    </row>
    <row r="329" spans="1:11">
      <c r="A329">
        <v>0.47560000000000002</v>
      </c>
      <c r="B329">
        <v>0.1928</v>
      </c>
      <c r="C329">
        <v>6.7100000000000007E-2</v>
      </c>
      <c r="D329">
        <v>5.7500000000000002E-2</v>
      </c>
      <c r="E329">
        <v>0</v>
      </c>
      <c r="F329">
        <v>0.2069</v>
      </c>
      <c r="G329">
        <v>50</v>
      </c>
      <c r="H329">
        <v>120</v>
      </c>
      <c r="I329">
        <v>29</v>
      </c>
      <c r="J329">
        <v>1</v>
      </c>
      <c r="K329">
        <v>23.78</v>
      </c>
    </row>
    <row r="330" spans="1:11">
      <c r="A330">
        <v>0.35220000000000001</v>
      </c>
      <c r="B330">
        <v>4.36E-2</v>
      </c>
      <c r="C330">
        <v>0.34720000000000001</v>
      </c>
      <c r="D330">
        <v>3.6400000000000002E-2</v>
      </c>
      <c r="E330">
        <v>6.3399999999999998E-2</v>
      </c>
      <c r="F330">
        <v>0.1573</v>
      </c>
      <c r="G330">
        <v>120</v>
      </c>
      <c r="H330">
        <v>130</v>
      </c>
      <c r="I330">
        <v>50</v>
      </c>
      <c r="J330">
        <v>2</v>
      </c>
      <c r="K330">
        <v>42.264000000000003</v>
      </c>
    </row>
    <row r="331" spans="1:11">
      <c r="A331">
        <v>0.31519999999999998</v>
      </c>
      <c r="B331">
        <v>0.16489999999999999</v>
      </c>
      <c r="C331">
        <v>0.1578</v>
      </c>
      <c r="D331">
        <v>8.7300000000000003E-2</v>
      </c>
      <c r="E331">
        <v>8.2000000000000003E-2</v>
      </c>
      <c r="F331">
        <v>0.1928</v>
      </c>
      <c r="G331">
        <v>50</v>
      </c>
      <c r="H331">
        <v>60</v>
      </c>
      <c r="I331">
        <v>37</v>
      </c>
      <c r="J331">
        <v>1</v>
      </c>
      <c r="K331">
        <v>15.76</v>
      </c>
    </row>
    <row r="332" spans="1:11">
      <c r="A332">
        <v>0.35310000000000002</v>
      </c>
      <c r="B332">
        <v>0.04</v>
      </c>
      <c r="C332">
        <v>0.23449999999999999</v>
      </c>
      <c r="D332">
        <v>0.17979999999999999</v>
      </c>
      <c r="E332">
        <v>2.0899999999999998E-2</v>
      </c>
      <c r="F332">
        <v>0.17169999999999999</v>
      </c>
      <c r="G332">
        <v>80</v>
      </c>
      <c r="H332">
        <v>90</v>
      </c>
      <c r="I332">
        <v>34</v>
      </c>
      <c r="J332">
        <v>2</v>
      </c>
      <c r="K332">
        <v>28.248000000000001</v>
      </c>
    </row>
    <row r="333" spans="1:11">
      <c r="A333">
        <v>0.32990000000000003</v>
      </c>
      <c r="B333">
        <v>0.1241</v>
      </c>
      <c r="C333">
        <v>0.16259999999999999</v>
      </c>
      <c r="D333">
        <v>4.7500000000000001E-2</v>
      </c>
      <c r="E333">
        <v>0.13389999999999999</v>
      </c>
      <c r="F333">
        <v>0.2021</v>
      </c>
      <c r="G333">
        <v>90</v>
      </c>
      <c r="H333">
        <v>130</v>
      </c>
      <c r="I333">
        <v>27</v>
      </c>
      <c r="J333">
        <v>1</v>
      </c>
      <c r="K333">
        <v>29.690999999999999</v>
      </c>
    </row>
    <row r="334" spans="1:11">
      <c r="A334">
        <v>0.39350000000000002</v>
      </c>
      <c r="B334">
        <v>0.1028</v>
      </c>
      <c r="C334">
        <v>9.5799999999999996E-2</v>
      </c>
      <c r="D334">
        <v>3.73E-2</v>
      </c>
      <c r="E334">
        <v>0.24840000000000001</v>
      </c>
      <c r="F334">
        <v>0.1222</v>
      </c>
      <c r="G334">
        <v>90</v>
      </c>
      <c r="H334">
        <v>110</v>
      </c>
      <c r="I334">
        <v>45</v>
      </c>
      <c r="J334">
        <v>1</v>
      </c>
      <c r="K334">
        <v>35.414999999999999</v>
      </c>
    </row>
    <row r="335" spans="1:11">
      <c r="A335">
        <v>0.27360000000000001</v>
      </c>
      <c r="B335">
        <v>8.3500000000000005E-2</v>
      </c>
      <c r="C335">
        <v>0.23169999999999999</v>
      </c>
      <c r="D335">
        <v>6.4799999999999996E-2</v>
      </c>
      <c r="E335">
        <v>0.13289999999999999</v>
      </c>
      <c r="F335">
        <v>0.2135</v>
      </c>
      <c r="G335">
        <v>60</v>
      </c>
      <c r="H335">
        <v>60</v>
      </c>
      <c r="I335">
        <v>28</v>
      </c>
      <c r="J335">
        <v>1</v>
      </c>
      <c r="K335">
        <v>16.416</v>
      </c>
    </row>
    <row r="336" spans="1:11">
      <c r="A336">
        <v>0.38979999999999998</v>
      </c>
      <c r="B336">
        <v>0.152</v>
      </c>
      <c r="C336">
        <v>5.1000000000000004E-3</v>
      </c>
      <c r="D336">
        <v>2.4799999999999999E-2</v>
      </c>
      <c r="E336">
        <v>0.21029999999999999</v>
      </c>
      <c r="F336">
        <v>0.21790000000000001</v>
      </c>
      <c r="G336">
        <v>60</v>
      </c>
      <c r="H336">
        <v>110</v>
      </c>
      <c r="I336">
        <v>30</v>
      </c>
      <c r="J336">
        <v>2</v>
      </c>
      <c r="K336">
        <v>23.388000000000002</v>
      </c>
    </row>
    <row r="337" spans="1:11">
      <c r="A337">
        <v>0.3488</v>
      </c>
      <c r="B337">
        <v>8.5900000000000004E-2</v>
      </c>
      <c r="C337">
        <v>9.7000000000000003E-3</v>
      </c>
      <c r="D337">
        <v>0.18229999999999999</v>
      </c>
      <c r="E337">
        <v>0.157</v>
      </c>
      <c r="F337">
        <v>0.21629999999999999</v>
      </c>
      <c r="G337">
        <v>90</v>
      </c>
      <c r="H337">
        <v>190</v>
      </c>
      <c r="I337">
        <v>55</v>
      </c>
      <c r="J337">
        <v>1</v>
      </c>
      <c r="K337">
        <v>31.391999999999999</v>
      </c>
    </row>
    <row r="338" spans="1:11">
      <c r="A338">
        <v>0.50980000000000003</v>
      </c>
      <c r="B338">
        <v>0.16300000000000001</v>
      </c>
      <c r="C338">
        <v>0.105</v>
      </c>
      <c r="D338">
        <v>0</v>
      </c>
      <c r="E338">
        <v>3.5400000000000001E-2</v>
      </c>
      <c r="F338">
        <v>0.18679999999999999</v>
      </c>
      <c r="G338">
        <v>50</v>
      </c>
      <c r="H338">
        <v>100</v>
      </c>
      <c r="I338">
        <v>26</v>
      </c>
      <c r="J338">
        <v>2</v>
      </c>
      <c r="K338">
        <v>25.49</v>
      </c>
    </row>
    <row r="339" spans="1:11">
      <c r="A339">
        <v>0.59399999999999997</v>
      </c>
      <c r="B339">
        <v>0.1085</v>
      </c>
      <c r="C339">
        <v>7.6E-3</v>
      </c>
      <c r="D339">
        <v>7.5899999999999995E-2</v>
      </c>
      <c r="E339">
        <v>5.8200000000000002E-2</v>
      </c>
      <c r="F339">
        <v>0.15590000000000001</v>
      </c>
      <c r="G339">
        <v>90</v>
      </c>
      <c r="H339">
        <v>120</v>
      </c>
      <c r="I339">
        <v>45</v>
      </c>
      <c r="J339">
        <v>2</v>
      </c>
      <c r="K339">
        <v>53.46</v>
      </c>
    </row>
    <row r="340" spans="1:11">
      <c r="A340">
        <v>0.43559999999999999</v>
      </c>
      <c r="B340">
        <v>0.15640000000000001</v>
      </c>
      <c r="C340">
        <v>0</v>
      </c>
      <c r="D340">
        <v>0</v>
      </c>
      <c r="E340">
        <v>7.7100000000000002E-2</v>
      </c>
      <c r="F340">
        <v>0.33079999999999998</v>
      </c>
      <c r="G340">
        <v>40</v>
      </c>
      <c r="H340">
        <v>90</v>
      </c>
      <c r="I340">
        <v>30</v>
      </c>
      <c r="J340">
        <v>2</v>
      </c>
      <c r="K340">
        <v>17.423999999999999</v>
      </c>
    </row>
    <row r="341" spans="1:11">
      <c r="A341">
        <v>0.4385</v>
      </c>
      <c r="B341">
        <v>0.1181</v>
      </c>
      <c r="C341">
        <v>5.0299999999999997E-2</v>
      </c>
      <c r="D341">
        <v>5.21E-2</v>
      </c>
      <c r="E341">
        <v>0.10390000000000001</v>
      </c>
      <c r="F341">
        <v>0.23710000000000001</v>
      </c>
      <c r="G341">
        <v>50</v>
      </c>
      <c r="H341">
        <v>70</v>
      </c>
      <c r="I341">
        <v>24</v>
      </c>
      <c r="J341">
        <v>2</v>
      </c>
      <c r="K341">
        <v>21.925000000000001</v>
      </c>
    </row>
    <row r="342" spans="1:11">
      <c r="A342">
        <v>0.27079999999999999</v>
      </c>
      <c r="B342">
        <v>0.1246</v>
      </c>
      <c r="C342">
        <v>0.19220000000000001</v>
      </c>
      <c r="D342">
        <v>7.1599999999999997E-2</v>
      </c>
      <c r="E342">
        <v>0.1028</v>
      </c>
      <c r="F342">
        <v>0.2379</v>
      </c>
      <c r="G342">
        <v>70</v>
      </c>
      <c r="H342">
        <v>100</v>
      </c>
      <c r="I342">
        <v>30</v>
      </c>
      <c r="J342">
        <v>2</v>
      </c>
      <c r="K342">
        <v>18.956</v>
      </c>
    </row>
    <row r="343" spans="1:11">
      <c r="A343">
        <v>0.35930000000000001</v>
      </c>
      <c r="B343">
        <v>0.1177</v>
      </c>
      <c r="C343">
        <v>0.1527</v>
      </c>
      <c r="D343">
        <v>6.3E-2</v>
      </c>
      <c r="E343">
        <v>0.1721</v>
      </c>
      <c r="F343">
        <v>0.1351</v>
      </c>
      <c r="G343">
        <v>100</v>
      </c>
      <c r="H343">
        <v>170</v>
      </c>
      <c r="I343">
        <v>41</v>
      </c>
      <c r="J343">
        <v>2</v>
      </c>
      <c r="K343">
        <v>35.93</v>
      </c>
    </row>
    <row r="344" spans="1:11">
      <c r="A344">
        <v>0.33260000000000001</v>
      </c>
      <c r="B344">
        <v>0.24840000000000001</v>
      </c>
      <c r="C344">
        <v>9.4600000000000004E-2</v>
      </c>
      <c r="D344">
        <v>0</v>
      </c>
      <c r="E344">
        <v>1.03E-2</v>
      </c>
      <c r="F344">
        <v>0.314</v>
      </c>
      <c r="G344">
        <v>50</v>
      </c>
      <c r="H344">
        <v>140</v>
      </c>
      <c r="I344">
        <v>26</v>
      </c>
      <c r="J344">
        <v>2</v>
      </c>
      <c r="K344">
        <v>16.63</v>
      </c>
    </row>
    <row r="345" spans="1:11">
      <c r="A345">
        <v>0.36770000000000003</v>
      </c>
      <c r="B345">
        <v>3.9800000000000002E-2</v>
      </c>
      <c r="C345">
        <v>0.33579999999999999</v>
      </c>
      <c r="D345">
        <v>9.9599999999999994E-2</v>
      </c>
      <c r="E345">
        <v>2.3099999999999999E-2</v>
      </c>
      <c r="F345">
        <v>0.13400000000000001</v>
      </c>
      <c r="G345">
        <v>90</v>
      </c>
      <c r="H345">
        <v>130</v>
      </c>
      <c r="I345">
        <v>38</v>
      </c>
      <c r="J345">
        <v>1</v>
      </c>
      <c r="K345">
        <v>33.093000000000004</v>
      </c>
    </row>
    <row r="346" spans="1:11">
      <c r="A346">
        <v>0.42680000000000001</v>
      </c>
      <c r="B346">
        <v>8.0799999999999997E-2</v>
      </c>
      <c r="C346">
        <v>4.1000000000000002E-2</v>
      </c>
      <c r="D346">
        <v>2.4899999999999999E-2</v>
      </c>
      <c r="E346">
        <v>0.1603</v>
      </c>
      <c r="F346">
        <v>0.26619999999999999</v>
      </c>
      <c r="G346">
        <v>70</v>
      </c>
      <c r="H346">
        <v>70</v>
      </c>
      <c r="I346">
        <v>30</v>
      </c>
      <c r="J346">
        <v>2</v>
      </c>
      <c r="K346">
        <v>29.876000000000001</v>
      </c>
    </row>
    <row r="347" spans="1:11">
      <c r="A347">
        <v>0.34889999999999999</v>
      </c>
      <c r="B347">
        <v>0.10539999999999999</v>
      </c>
      <c r="C347">
        <v>5.0099999999999999E-2</v>
      </c>
      <c r="D347">
        <v>2.3E-2</v>
      </c>
      <c r="E347">
        <v>0.14499999999999999</v>
      </c>
      <c r="F347">
        <v>0.3276</v>
      </c>
      <c r="G347">
        <v>110</v>
      </c>
      <c r="H347">
        <v>190</v>
      </c>
      <c r="I347">
        <v>54</v>
      </c>
      <c r="J347">
        <v>2</v>
      </c>
      <c r="K347">
        <v>38.378999999999998</v>
      </c>
    </row>
    <row r="348" spans="1:11">
      <c r="A348">
        <v>0.29189999999999999</v>
      </c>
      <c r="B348">
        <v>0.1137</v>
      </c>
      <c r="C348">
        <v>0.30220000000000002</v>
      </c>
      <c r="D348">
        <v>0</v>
      </c>
      <c r="E348">
        <v>0.13669999999999999</v>
      </c>
      <c r="F348">
        <v>0.15540000000000001</v>
      </c>
      <c r="G348">
        <v>120</v>
      </c>
      <c r="H348">
        <v>310</v>
      </c>
      <c r="I348">
        <v>39</v>
      </c>
      <c r="J348">
        <v>2</v>
      </c>
      <c r="K348">
        <v>35.027999999999999</v>
      </c>
    </row>
    <row r="349" spans="1:11">
      <c r="A349">
        <v>0.3352</v>
      </c>
      <c r="B349">
        <v>0.13589999999999999</v>
      </c>
      <c r="C349">
        <v>0.20680000000000001</v>
      </c>
      <c r="D349">
        <v>5.2900000000000003E-2</v>
      </c>
      <c r="E349">
        <v>0.1094</v>
      </c>
      <c r="F349">
        <v>0.1598</v>
      </c>
      <c r="G349">
        <v>70</v>
      </c>
      <c r="H349">
        <v>120</v>
      </c>
      <c r="I349">
        <v>31</v>
      </c>
      <c r="J349">
        <v>1</v>
      </c>
      <c r="K349">
        <v>23.463999999999999</v>
      </c>
    </row>
    <row r="350" spans="1:11">
      <c r="A350">
        <v>0.2928</v>
      </c>
      <c r="B350">
        <v>7.9200000000000007E-2</v>
      </c>
      <c r="C350">
        <v>0.27389999999999998</v>
      </c>
      <c r="D350">
        <v>8.5599999999999996E-2</v>
      </c>
      <c r="E350">
        <v>0.14549999999999999</v>
      </c>
      <c r="F350">
        <v>0.123</v>
      </c>
      <c r="G350">
        <v>80</v>
      </c>
      <c r="H350">
        <v>100</v>
      </c>
      <c r="I350">
        <v>25</v>
      </c>
      <c r="J350">
        <v>1</v>
      </c>
      <c r="K350">
        <v>23.423999999999999</v>
      </c>
    </row>
    <row r="351" spans="1:11">
      <c r="A351">
        <v>0.33239999999999997</v>
      </c>
      <c r="B351">
        <v>7.6399999999999996E-2</v>
      </c>
      <c r="C351">
        <v>0.1492</v>
      </c>
      <c r="D351">
        <v>5.9200000000000003E-2</v>
      </c>
      <c r="E351">
        <v>0.1056</v>
      </c>
      <c r="F351">
        <v>0.27729999999999999</v>
      </c>
      <c r="G351">
        <v>110</v>
      </c>
      <c r="H351">
        <v>110</v>
      </c>
      <c r="I351">
        <v>57</v>
      </c>
      <c r="J351">
        <v>1</v>
      </c>
      <c r="K351">
        <v>36.564</v>
      </c>
    </row>
    <row r="352" spans="1:11">
      <c r="A352">
        <v>0.42299999999999999</v>
      </c>
      <c r="B352">
        <v>0.12690000000000001</v>
      </c>
      <c r="C352">
        <v>0.127</v>
      </c>
      <c r="D352">
        <v>6.5199999999999994E-2</v>
      </c>
      <c r="E352">
        <v>5.0000000000000001E-4</v>
      </c>
      <c r="F352">
        <v>0.25740000000000002</v>
      </c>
      <c r="G352">
        <v>70</v>
      </c>
      <c r="H352">
        <v>60</v>
      </c>
      <c r="I352">
        <v>25</v>
      </c>
      <c r="J352">
        <v>1</v>
      </c>
      <c r="K352">
        <v>29.61</v>
      </c>
    </row>
    <row r="353" spans="1:11">
      <c r="A353">
        <v>0.4254</v>
      </c>
      <c r="B353">
        <v>6.9000000000000006E-2</v>
      </c>
      <c r="C353">
        <v>0.1206</v>
      </c>
      <c r="D353">
        <v>0.12470000000000001</v>
      </c>
      <c r="E353">
        <v>7.0000000000000001E-3</v>
      </c>
      <c r="F353">
        <v>0.25330000000000003</v>
      </c>
      <c r="G353">
        <v>110</v>
      </c>
      <c r="H353">
        <v>340</v>
      </c>
      <c r="I353">
        <v>39</v>
      </c>
      <c r="J353">
        <v>2</v>
      </c>
      <c r="K353">
        <v>46.793999999999997</v>
      </c>
    </row>
    <row r="354" spans="1:11">
      <c r="A354">
        <v>0.38769999999999999</v>
      </c>
      <c r="B354">
        <v>0.1186</v>
      </c>
      <c r="C354">
        <v>4.07E-2</v>
      </c>
      <c r="D354">
        <v>0</v>
      </c>
      <c r="E354">
        <v>0.19450000000000001</v>
      </c>
      <c r="F354">
        <v>0.25850000000000001</v>
      </c>
      <c r="G354">
        <v>70</v>
      </c>
      <c r="H354">
        <v>110</v>
      </c>
      <c r="I354">
        <v>41</v>
      </c>
      <c r="J354">
        <v>1</v>
      </c>
      <c r="K354">
        <v>27.138999999999999</v>
      </c>
    </row>
    <row r="355" spans="1:11">
      <c r="A355">
        <v>0.32900000000000001</v>
      </c>
      <c r="B355">
        <v>0.11749999999999999</v>
      </c>
      <c r="C355">
        <v>9.8699999999999996E-2</v>
      </c>
      <c r="D355">
        <v>0</v>
      </c>
      <c r="E355">
        <v>0</v>
      </c>
      <c r="F355">
        <v>0.45479999999999998</v>
      </c>
      <c r="G355">
        <v>60</v>
      </c>
      <c r="H355">
        <v>80</v>
      </c>
      <c r="I355">
        <v>26</v>
      </c>
      <c r="J355">
        <v>2</v>
      </c>
      <c r="K355">
        <v>19.739999999999998</v>
      </c>
    </row>
    <row r="356" spans="1:11">
      <c r="A356">
        <v>0.48199999999999998</v>
      </c>
      <c r="B356">
        <v>7.1800000000000003E-2</v>
      </c>
      <c r="C356">
        <v>9.8000000000000004E-2</v>
      </c>
      <c r="D356">
        <v>2.2200000000000001E-2</v>
      </c>
      <c r="E356">
        <v>0.1714</v>
      </c>
      <c r="F356">
        <v>0.1547</v>
      </c>
      <c r="G356">
        <v>80</v>
      </c>
      <c r="H356">
        <v>150</v>
      </c>
      <c r="I356">
        <v>49</v>
      </c>
      <c r="J356">
        <v>2</v>
      </c>
      <c r="K356">
        <v>38.56</v>
      </c>
    </row>
    <row r="357" spans="1:11">
      <c r="A357">
        <v>0.14960000000000001</v>
      </c>
      <c r="B357">
        <v>0.2601</v>
      </c>
      <c r="C357">
        <v>0.2278</v>
      </c>
      <c r="D357">
        <v>1.8700000000000001E-2</v>
      </c>
      <c r="E357">
        <v>7.17E-2</v>
      </c>
      <c r="F357">
        <v>0.27200000000000002</v>
      </c>
      <c r="G357">
        <v>60</v>
      </c>
      <c r="H357">
        <v>120</v>
      </c>
      <c r="I357">
        <v>36</v>
      </c>
      <c r="J357">
        <v>2</v>
      </c>
      <c r="K357">
        <v>8.9760000000000009</v>
      </c>
    </row>
    <row r="358" spans="1:11">
      <c r="A358">
        <v>0.25240000000000001</v>
      </c>
      <c r="B358">
        <v>6.3E-2</v>
      </c>
      <c r="C358">
        <v>0.40570000000000001</v>
      </c>
      <c r="D358">
        <v>0</v>
      </c>
      <c r="E358">
        <v>0.1166</v>
      </c>
      <c r="F358">
        <v>0.1623</v>
      </c>
      <c r="G358">
        <v>160</v>
      </c>
      <c r="H358">
        <v>150</v>
      </c>
      <c r="I358">
        <v>54</v>
      </c>
      <c r="J358">
        <v>2</v>
      </c>
      <c r="K358">
        <v>40.384</v>
      </c>
    </row>
    <row r="359" spans="1:11">
      <c r="A359">
        <v>0.43030000000000002</v>
      </c>
      <c r="B359">
        <v>0.1031</v>
      </c>
      <c r="C359">
        <v>2.8299999999999999E-2</v>
      </c>
      <c r="D359">
        <v>5.8599999999999999E-2</v>
      </c>
      <c r="E359">
        <v>0.14099999999999999</v>
      </c>
      <c r="F359">
        <v>0.2387</v>
      </c>
      <c r="G359">
        <v>70</v>
      </c>
      <c r="H359">
        <v>110</v>
      </c>
      <c r="I359">
        <v>33</v>
      </c>
      <c r="J359">
        <v>1</v>
      </c>
      <c r="K359">
        <v>30.120999999999999</v>
      </c>
    </row>
    <row r="360" spans="1:11">
      <c r="A360">
        <v>0.32690000000000002</v>
      </c>
      <c r="B360">
        <v>5.62E-2</v>
      </c>
      <c r="C360">
        <v>0.22789999999999999</v>
      </c>
      <c r="D360">
        <v>0.15479999999999999</v>
      </c>
      <c r="E360">
        <v>9.7799999999999998E-2</v>
      </c>
      <c r="F360">
        <v>0.13639999999999999</v>
      </c>
      <c r="G360">
        <v>90</v>
      </c>
      <c r="H360">
        <v>130</v>
      </c>
      <c r="I360">
        <v>33</v>
      </c>
      <c r="J360">
        <v>1</v>
      </c>
      <c r="K360">
        <v>29.420999999999999</v>
      </c>
    </row>
    <row r="361" spans="1:11">
      <c r="A361">
        <v>0.23050000000000001</v>
      </c>
      <c r="B361">
        <v>3.4799999999999998E-2</v>
      </c>
      <c r="C361">
        <v>2.2000000000000001E-3</v>
      </c>
      <c r="D361">
        <v>0.16539999999999999</v>
      </c>
      <c r="E361">
        <v>0.1002</v>
      </c>
      <c r="F361">
        <v>0.46679999999999999</v>
      </c>
      <c r="G361">
        <v>110</v>
      </c>
      <c r="H361">
        <v>160</v>
      </c>
      <c r="I361">
        <v>56</v>
      </c>
      <c r="J361">
        <v>1</v>
      </c>
      <c r="K361">
        <v>25.355</v>
      </c>
    </row>
    <row r="362" spans="1:11">
      <c r="A362">
        <v>0.51429999999999998</v>
      </c>
      <c r="B362">
        <v>4.5900000000000003E-2</v>
      </c>
      <c r="C362">
        <v>2.0999999999999999E-3</v>
      </c>
      <c r="D362">
        <v>4.7199999999999999E-2</v>
      </c>
      <c r="E362">
        <v>1.1299999999999999E-2</v>
      </c>
      <c r="F362">
        <v>0.37919999999999998</v>
      </c>
      <c r="G362">
        <v>50</v>
      </c>
      <c r="H362">
        <v>80</v>
      </c>
      <c r="I362">
        <v>30</v>
      </c>
      <c r="J362">
        <v>2</v>
      </c>
      <c r="K362">
        <v>25.715</v>
      </c>
    </row>
    <row r="363" spans="1:11">
      <c r="A363">
        <v>0.48499999999999999</v>
      </c>
      <c r="B363">
        <v>5.5100000000000003E-2</v>
      </c>
      <c r="C363">
        <v>0.1774</v>
      </c>
      <c r="D363">
        <v>8.5699999999999998E-2</v>
      </c>
      <c r="E363">
        <v>5.5199999999999999E-2</v>
      </c>
      <c r="F363">
        <v>0.1416</v>
      </c>
      <c r="G363">
        <v>90</v>
      </c>
      <c r="H363">
        <v>100</v>
      </c>
      <c r="I363">
        <v>22</v>
      </c>
      <c r="J363">
        <v>1</v>
      </c>
      <c r="K363">
        <v>43.65</v>
      </c>
    </row>
    <row r="364" spans="1:11">
      <c r="A364">
        <v>0.43709999999999999</v>
      </c>
      <c r="B364">
        <v>2.6200000000000001E-2</v>
      </c>
      <c r="C364">
        <v>8.9700000000000002E-2</v>
      </c>
      <c r="D364">
        <v>0.17180000000000001</v>
      </c>
      <c r="E364">
        <v>3.6900000000000002E-2</v>
      </c>
      <c r="F364">
        <v>0.23830000000000001</v>
      </c>
      <c r="G364">
        <v>70</v>
      </c>
      <c r="H364">
        <v>140</v>
      </c>
      <c r="I364">
        <v>20</v>
      </c>
      <c r="J364">
        <v>1</v>
      </c>
      <c r="K364">
        <v>30.597000000000001</v>
      </c>
    </row>
    <row r="365" spans="1:11">
      <c r="A365">
        <v>0.28610000000000002</v>
      </c>
      <c r="B365">
        <v>0.26750000000000002</v>
      </c>
      <c r="C365">
        <v>0.17330000000000001</v>
      </c>
      <c r="D365">
        <v>0</v>
      </c>
      <c r="E365">
        <v>0.127</v>
      </c>
      <c r="F365">
        <v>0.14610000000000001</v>
      </c>
      <c r="G365">
        <v>70</v>
      </c>
      <c r="H365">
        <v>70</v>
      </c>
      <c r="I365">
        <v>57</v>
      </c>
      <c r="J365">
        <v>1</v>
      </c>
      <c r="K365">
        <v>20.027000000000001</v>
      </c>
    </row>
    <row r="366" spans="1:11">
      <c r="A366">
        <v>0.4239</v>
      </c>
      <c r="B366">
        <v>0.04</v>
      </c>
      <c r="C366">
        <v>2.81E-2</v>
      </c>
      <c r="D366">
        <v>0</v>
      </c>
      <c r="E366">
        <v>0.16839999999999999</v>
      </c>
      <c r="F366">
        <v>0.33960000000000001</v>
      </c>
      <c r="G366">
        <v>70</v>
      </c>
      <c r="H366">
        <v>100</v>
      </c>
      <c r="I366">
        <v>25</v>
      </c>
      <c r="J366">
        <v>1</v>
      </c>
      <c r="K366">
        <v>29.672999999999998</v>
      </c>
    </row>
    <row r="367" spans="1:11">
      <c r="A367">
        <v>0.19439999999999999</v>
      </c>
      <c r="B367">
        <v>8.7800000000000003E-2</v>
      </c>
      <c r="C367">
        <v>7.85E-2</v>
      </c>
      <c r="D367">
        <v>1.7600000000000001E-2</v>
      </c>
      <c r="E367">
        <v>0.47010000000000002</v>
      </c>
      <c r="F367">
        <v>0.15160000000000001</v>
      </c>
      <c r="G367">
        <v>110</v>
      </c>
      <c r="H367">
        <v>120</v>
      </c>
      <c r="I367">
        <v>36</v>
      </c>
      <c r="J367">
        <v>2</v>
      </c>
      <c r="K367">
        <v>21.384</v>
      </c>
    </row>
    <row r="368" spans="1:11">
      <c r="A368">
        <v>0.31009999999999999</v>
      </c>
      <c r="B368">
        <v>0.11360000000000001</v>
      </c>
      <c r="C368">
        <v>2.64E-2</v>
      </c>
      <c r="D368">
        <v>0.1229</v>
      </c>
      <c r="E368">
        <v>4.9799999999999997E-2</v>
      </c>
      <c r="F368">
        <v>0.37719999999999998</v>
      </c>
      <c r="G368">
        <v>80</v>
      </c>
      <c r="H368">
        <v>100</v>
      </c>
      <c r="I368">
        <v>40</v>
      </c>
      <c r="J368">
        <v>2</v>
      </c>
      <c r="K368">
        <v>24.808</v>
      </c>
    </row>
    <row r="369" spans="1:11">
      <c r="A369">
        <v>0.49099999999999999</v>
      </c>
      <c r="B369">
        <v>0.10589999999999999</v>
      </c>
      <c r="C369">
        <v>8.1600000000000006E-2</v>
      </c>
      <c r="D369">
        <v>4.9099999999999998E-2</v>
      </c>
      <c r="E369">
        <v>4.9700000000000001E-2</v>
      </c>
      <c r="F369">
        <v>0.22259999999999999</v>
      </c>
      <c r="G369">
        <v>80</v>
      </c>
      <c r="H369">
        <v>100</v>
      </c>
      <c r="I369">
        <v>29</v>
      </c>
      <c r="J369">
        <v>1</v>
      </c>
      <c r="K369">
        <v>39.28</v>
      </c>
    </row>
    <row r="370" spans="1:11">
      <c r="A370">
        <v>0.23050000000000001</v>
      </c>
      <c r="B370">
        <v>0.14779999999999999</v>
      </c>
      <c r="C370">
        <v>0.17319999999999999</v>
      </c>
      <c r="D370">
        <v>0</v>
      </c>
      <c r="E370">
        <v>0.09</v>
      </c>
      <c r="F370">
        <v>0.3584</v>
      </c>
      <c r="G370">
        <v>80</v>
      </c>
      <c r="H370">
        <v>120</v>
      </c>
      <c r="I370">
        <v>34</v>
      </c>
      <c r="J370">
        <v>2</v>
      </c>
      <c r="K370">
        <v>18.440000000000001</v>
      </c>
    </row>
    <row r="371" spans="1:11">
      <c r="A371">
        <v>0.56440000000000001</v>
      </c>
      <c r="B371">
        <v>6.4500000000000002E-2</v>
      </c>
      <c r="C371">
        <v>0.22120000000000001</v>
      </c>
      <c r="D371">
        <v>0</v>
      </c>
      <c r="E371">
        <v>3.8E-3</v>
      </c>
      <c r="F371">
        <v>0.1462</v>
      </c>
      <c r="G371">
        <v>80</v>
      </c>
      <c r="H371">
        <v>60</v>
      </c>
      <c r="I371">
        <v>22</v>
      </c>
      <c r="J371">
        <v>1</v>
      </c>
      <c r="K371">
        <v>45.152000000000001</v>
      </c>
    </row>
    <row r="372" spans="1:11">
      <c r="A372">
        <v>0.29509999999999997</v>
      </c>
      <c r="B372">
        <v>0.1391</v>
      </c>
      <c r="C372">
        <v>0.1285</v>
      </c>
      <c r="D372">
        <v>3.1199999999999999E-2</v>
      </c>
      <c r="E372">
        <v>0.13189999999999999</v>
      </c>
      <c r="F372">
        <v>0.27410000000000001</v>
      </c>
      <c r="G372">
        <v>100</v>
      </c>
      <c r="H372">
        <v>160</v>
      </c>
      <c r="I372">
        <v>44</v>
      </c>
      <c r="J372">
        <v>1</v>
      </c>
      <c r="K372">
        <v>29.51</v>
      </c>
    </row>
    <row r="373" spans="1:11">
      <c r="A373">
        <v>0.54769999999999996</v>
      </c>
      <c r="B373">
        <v>0.1168</v>
      </c>
      <c r="C373">
        <v>0</v>
      </c>
      <c r="D373">
        <v>7.1800000000000003E-2</v>
      </c>
      <c r="E373">
        <v>0.12889999999999999</v>
      </c>
      <c r="F373">
        <v>0.1348</v>
      </c>
      <c r="G373">
        <v>50</v>
      </c>
      <c r="H373">
        <v>140</v>
      </c>
      <c r="I373">
        <v>60</v>
      </c>
      <c r="J373">
        <v>1</v>
      </c>
      <c r="K373">
        <v>27.385000000000002</v>
      </c>
    </row>
    <row r="374" spans="1:11">
      <c r="A374">
        <v>0.26910000000000001</v>
      </c>
      <c r="B374">
        <v>6.7000000000000004E-2</v>
      </c>
      <c r="C374">
        <v>0.17879999999999999</v>
      </c>
      <c r="D374">
        <v>0</v>
      </c>
      <c r="E374">
        <v>0.21110000000000001</v>
      </c>
      <c r="F374">
        <v>0.27410000000000001</v>
      </c>
      <c r="G374">
        <v>50</v>
      </c>
      <c r="H374">
        <v>90</v>
      </c>
      <c r="I374">
        <v>35</v>
      </c>
      <c r="J374">
        <v>1</v>
      </c>
      <c r="K374">
        <v>13.455</v>
      </c>
    </row>
    <row r="375" spans="1:11">
      <c r="A375">
        <v>0.23519999999999999</v>
      </c>
      <c r="B375">
        <v>4.2900000000000001E-2</v>
      </c>
      <c r="C375">
        <v>0.33400000000000002</v>
      </c>
      <c r="D375">
        <v>7.4000000000000003E-3</v>
      </c>
      <c r="E375">
        <v>0.2293</v>
      </c>
      <c r="F375">
        <v>0.1512</v>
      </c>
      <c r="G375">
        <v>120</v>
      </c>
      <c r="H375">
        <v>180</v>
      </c>
      <c r="I375">
        <v>36</v>
      </c>
      <c r="J375">
        <v>1</v>
      </c>
      <c r="K375">
        <v>28.224</v>
      </c>
    </row>
    <row r="376" spans="1:11">
      <c r="A376">
        <v>0.57650000000000001</v>
      </c>
      <c r="B376">
        <v>0.12239999999999999</v>
      </c>
      <c r="C376">
        <v>4.0099999999999997E-2</v>
      </c>
      <c r="D376">
        <v>7.7299999999999994E-2</v>
      </c>
      <c r="E376">
        <v>5.1200000000000002E-2</v>
      </c>
      <c r="F376">
        <v>0.13250000000000001</v>
      </c>
      <c r="G376">
        <v>70</v>
      </c>
      <c r="H376">
        <v>320</v>
      </c>
      <c r="I376">
        <v>40</v>
      </c>
      <c r="J376">
        <v>2</v>
      </c>
      <c r="K376">
        <v>40.354999999999997</v>
      </c>
    </row>
    <row r="377" spans="1:11">
      <c r="A377">
        <v>0.1386</v>
      </c>
      <c r="B377">
        <v>4.9799999999999997E-2</v>
      </c>
      <c r="C377">
        <v>1.9599999999999999E-2</v>
      </c>
      <c r="D377">
        <v>3.4799999999999998E-2</v>
      </c>
      <c r="E377">
        <v>0.54810000000000003</v>
      </c>
      <c r="F377">
        <v>0.20899999999999999</v>
      </c>
      <c r="G377">
        <v>190</v>
      </c>
      <c r="H377">
        <v>160</v>
      </c>
      <c r="I377">
        <v>32</v>
      </c>
      <c r="J377">
        <v>1</v>
      </c>
      <c r="K377">
        <v>26.334</v>
      </c>
    </row>
    <row r="378" spans="1:11">
      <c r="A378">
        <v>0.40689999999999998</v>
      </c>
      <c r="B378">
        <v>7.5200000000000003E-2</v>
      </c>
      <c r="C378">
        <v>0.1217</v>
      </c>
      <c r="D378">
        <v>4.4900000000000002E-2</v>
      </c>
      <c r="E378">
        <v>0.1411</v>
      </c>
      <c r="F378">
        <v>0.21010000000000001</v>
      </c>
      <c r="G378">
        <v>100</v>
      </c>
      <c r="H378">
        <v>130</v>
      </c>
      <c r="I378">
        <v>38</v>
      </c>
      <c r="J378">
        <v>2</v>
      </c>
      <c r="K378">
        <v>40.69</v>
      </c>
    </row>
    <row r="379" spans="1:11">
      <c r="A379">
        <v>0.52939999999999998</v>
      </c>
      <c r="B379">
        <v>6.5699999999999995E-2</v>
      </c>
      <c r="C379">
        <v>0.15160000000000001</v>
      </c>
      <c r="D379">
        <v>3.49E-2</v>
      </c>
      <c r="E379">
        <v>0.1656</v>
      </c>
      <c r="F379">
        <v>5.28E-2</v>
      </c>
      <c r="G379">
        <v>100</v>
      </c>
      <c r="H379">
        <v>90</v>
      </c>
      <c r="I379">
        <v>33</v>
      </c>
      <c r="J379">
        <v>2</v>
      </c>
      <c r="K379">
        <v>52.94</v>
      </c>
    </row>
    <row r="380" spans="1:11">
      <c r="A380">
        <v>0.46010000000000001</v>
      </c>
      <c r="B380">
        <v>0.1195</v>
      </c>
      <c r="C380">
        <v>1.0500000000000001E-2</v>
      </c>
      <c r="D380">
        <v>0.14660000000000001</v>
      </c>
      <c r="E380">
        <v>6.5299999999999997E-2</v>
      </c>
      <c r="F380">
        <v>0.1981</v>
      </c>
      <c r="G380">
        <v>70</v>
      </c>
      <c r="H380">
        <v>100</v>
      </c>
      <c r="I380">
        <v>45</v>
      </c>
      <c r="J380">
        <v>1</v>
      </c>
      <c r="K380">
        <v>32.207000000000001</v>
      </c>
    </row>
    <row r="381" spans="1:11">
      <c r="A381">
        <v>0.55400000000000005</v>
      </c>
      <c r="B381">
        <v>0.1042</v>
      </c>
      <c r="C381">
        <v>5.5599999999999997E-2</v>
      </c>
      <c r="D381">
        <v>2.7E-2</v>
      </c>
      <c r="E381">
        <v>0.1085</v>
      </c>
      <c r="F381">
        <v>0.1507</v>
      </c>
      <c r="G381">
        <v>40</v>
      </c>
      <c r="H381">
        <v>120</v>
      </c>
      <c r="I381">
        <v>25</v>
      </c>
      <c r="J381">
        <v>1</v>
      </c>
      <c r="K381">
        <v>22.16</v>
      </c>
    </row>
    <row r="382" spans="1:11">
      <c r="A382">
        <v>0.26939999999999997</v>
      </c>
      <c r="B382">
        <v>5.6899999999999999E-2</v>
      </c>
      <c r="C382">
        <v>0.14510000000000001</v>
      </c>
      <c r="D382">
        <v>0.17780000000000001</v>
      </c>
      <c r="E382">
        <v>7.4499999999999997E-2</v>
      </c>
      <c r="F382">
        <v>0.27629999999999999</v>
      </c>
      <c r="G382">
        <v>150</v>
      </c>
      <c r="H382">
        <v>130</v>
      </c>
      <c r="I382">
        <v>34</v>
      </c>
      <c r="J382">
        <v>2</v>
      </c>
      <c r="K382">
        <v>40.409999999999997</v>
      </c>
    </row>
    <row r="383" spans="1:11">
      <c r="A383">
        <v>0.53939999999999999</v>
      </c>
      <c r="B383">
        <v>0.1077</v>
      </c>
      <c r="C383">
        <v>4.82E-2</v>
      </c>
      <c r="D383">
        <v>3.8E-3</v>
      </c>
      <c r="E383">
        <v>7.3800000000000004E-2</v>
      </c>
      <c r="F383">
        <v>0.2271</v>
      </c>
      <c r="G383">
        <v>60</v>
      </c>
      <c r="H383">
        <v>100</v>
      </c>
      <c r="I383">
        <v>40</v>
      </c>
      <c r="J383">
        <v>2</v>
      </c>
      <c r="K383">
        <v>32.363999999999997</v>
      </c>
    </row>
    <row r="384" spans="1:11">
      <c r="A384">
        <v>0.50439999999999996</v>
      </c>
      <c r="B384">
        <v>0.1047</v>
      </c>
      <c r="C384">
        <v>3.95E-2</v>
      </c>
      <c r="D384">
        <v>9.2799999999999994E-2</v>
      </c>
      <c r="E384">
        <v>4.4200000000000003E-2</v>
      </c>
      <c r="F384">
        <v>0.21429999999999999</v>
      </c>
      <c r="G384">
        <v>50</v>
      </c>
      <c r="H384">
        <v>90</v>
      </c>
      <c r="I384">
        <v>36</v>
      </c>
      <c r="J384">
        <v>1</v>
      </c>
      <c r="K384">
        <v>25.22</v>
      </c>
    </row>
    <row r="385" spans="1:11">
      <c r="A385">
        <v>0.40570000000000001</v>
      </c>
      <c r="B385">
        <v>0.1036</v>
      </c>
      <c r="C385">
        <v>6.93E-2</v>
      </c>
      <c r="D385">
        <v>0.1173</v>
      </c>
      <c r="E385">
        <v>0.17150000000000001</v>
      </c>
      <c r="F385">
        <v>0.1326</v>
      </c>
      <c r="G385">
        <v>60</v>
      </c>
      <c r="H385">
        <v>80</v>
      </c>
      <c r="I385">
        <v>22</v>
      </c>
      <c r="J385">
        <v>1</v>
      </c>
      <c r="K385">
        <v>24.341999999999999</v>
      </c>
    </row>
    <row r="386" spans="1:11">
      <c r="A386">
        <v>0.1686</v>
      </c>
      <c r="B386">
        <v>4.2000000000000003E-2</v>
      </c>
      <c r="C386">
        <v>6.8999999999999999E-3</v>
      </c>
      <c r="D386">
        <v>1.9099999999999999E-2</v>
      </c>
      <c r="E386">
        <v>0.63729999999999998</v>
      </c>
      <c r="F386">
        <v>0.126</v>
      </c>
      <c r="G386">
        <v>80</v>
      </c>
      <c r="H386">
        <v>100</v>
      </c>
      <c r="I386">
        <v>35</v>
      </c>
      <c r="J386">
        <v>1</v>
      </c>
      <c r="K386">
        <v>13.488</v>
      </c>
    </row>
    <row r="387" spans="1:11">
      <c r="A387">
        <v>0.36230000000000001</v>
      </c>
      <c r="B387">
        <v>0.10299999999999999</v>
      </c>
      <c r="C387">
        <v>8.5599999999999996E-2</v>
      </c>
      <c r="D387">
        <v>0.13689999999999999</v>
      </c>
      <c r="E387">
        <v>0.13450000000000001</v>
      </c>
      <c r="F387">
        <v>0.17780000000000001</v>
      </c>
      <c r="G387">
        <v>90</v>
      </c>
      <c r="H387">
        <v>150</v>
      </c>
      <c r="I387">
        <v>25</v>
      </c>
      <c r="J387">
        <v>1</v>
      </c>
      <c r="K387">
        <v>32.606999999999999</v>
      </c>
    </row>
    <row r="388" spans="1:11">
      <c r="A388">
        <v>0.35299999999999998</v>
      </c>
      <c r="B388">
        <v>7.4499999999999997E-2</v>
      </c>
      <c r="C388">
        <v>0.17610000000000001</v>
      </c>
      <c r="D388">
        <v>2.0899999999999998E-2</v>
      </c>
      <c r="E388">
        <v>0.11990000000000001</v>
      </c>
      <c r="F388">
        <v>0.2555</v>
      </c>
      <c r="G388">
        <v>100</v>
      </c>
      <c r="H388">
        <v>130</v>
      </c>
      <c r="I388">
        <v>34</v>
      </c>
      <c r="J388">
        <v>2</v>
      </c>
      <c r="K388">
        <v>35.299999999999997</v>
      </c>
    </row>
    <row r="389" spans="1:11">
      <c r="A389">
        <v>0.2026</v>
      </c>
      <c r="B389">
        <v>4.0099999999999997E-2</v>
      </c>
      <c r="C389">
        <v>0.1004</v>
      </c>
      <c r="D389">
        <v>1.52E-2</v>
      </c>
      <c r="E389">
        <v>0.53920000000000001</v>
      </c>
      <c r="F389">
        <v>0.1024</v>
      </c>
      <c r="G389">
        <v>250</v>
      </c>
      <c r="H389">
        <v>150</v>
      </c>
      <c r="I389">
        <v>35</v>
      </c>
      <c r="J389">
        <v>2</v>
      </c>
      <c r="K389">
        <v>50.65</v>
      </c>
    </row>
    <row r="390" spans="1:11">
      <c r="A390">
        <v>0.31080000000000002</v>
      </c>
      <c r="B390">
        <v>7.3200000000000001E-2</v>
      </c>
      <c r="C390">
        <v>0.27089999999999997</v>
      </c>
      <c r="D390">
        <v>6.0600000000000001E-2</v>
      </c>
      <c r="E390">
        <v>0.13539999999999999</v>
      </c>
      <c r="F390">
        <v>0.14910000000000001</v>
      </c>
      <c r="G390">
        <v>100</v>
      </c>
      <c r="H390">
        <v>180</v>
      </c>
      <c r="I390">
        <v>42</v>
      </c>
      <c r="J390">
        <v>2</v>
      </c>
      <c r="K390">
        <v>31.08</v>
      </c>
    </row>
    <row r="391" spans="1:11">
      <c r="A391">
        <v>0.37069999999999997</v>
      </c>
      <c r="B391">
        <v>0.14610000000000001</v>
      </c>
      <c r="C391">
        <v>0.13969999999999999</v>
      </c>
      <c r="D391">
        <v>1.11E-2</v>
      </c>
      <c r="E391">
        <v>0.1303</v>
      </c>
      <c r="F391">
        <v>0.2021</v>
      </c>
      <c r="G391">
        <v>70</v>
      </c>
      <c r="H391">
        <v>250</v>
      </c>
      <c r="I391">
        <v>34</v>
      </c>
      <c r="J391">
        <v>1</v>
      </c>
      <c r="K391">
        <v>25.949000000000002</v>
      </c>
    </row>
    <row r="392" spans="1:11">
      <c r="A392">
        <v>0.16830000000000001</v>
      </c>
      <c r="B392">
        <v>0.15479999999999999</v>
      </c>
      <c r="C392">
        <v>8.0399999999999999E-2</v>
      </c>
      <c r="D392">
        <v>0</v>
      </c>
      <c r="E392">
        <v>0.2175</v>
      </c>
      <c r="F392">
        <v>0.379</v>
      </c>
      <c r="G392">
        <v>70</v>
      </c>
      <c r="H392">
        <v>200</v>
      </c>
      <c r="I392">
        <v>41</v>
      </c>
      <c r="J392">
        <v>2</v>
      </c>
      <c r="K392">
        <v>11.781000000000001</v>
      </c>
    </row>
    <row r="393" spans="1:11">
      <c r="A393">
        <v>0.24660000000000001</v>
      </c>
      <c r="B393">
        <v>9.4E-2</v>
      </c>
      <c r="C393">
        <v>0.1061</v>
      </c>
      <c r="D393">
        <v>6.5600000000000006E-2</v>
      </c>
      <c r="E393">
        <v>0.2011</v>
      </c>
      <c r="F393">
        <v>0.28670000000000001</v>
      </c>
      <c r="G393">
        <v>70</v>
      </c>
      <c r="H393">
        <v>110</v>
      </c>
      <c r="I393">
        <v>38</v>
      </c>
      <c r="J393">
        <v>2</v>
      </c>
      <c r="K393">
        <v>17.262</v>
      </c>
    </row>
    <row r="394" spans="1:11">
      <c r="A394">
        <v>0.1925</v>
      </c>
      <c r="B394">
        <v>8.2000000000000003E-2</v>
      </c>
      <c r="C394">
        <v>0.27329999999999999</v>
      </c>
      <c r="D394">
        <v>2.8500000000000001E-2</v>
      </c>
      <c r="E394">
        <v>0.18140000000000001</v>
      </c>
      <c r="F394">
        <v>0.2422</v>
      </c>
      <c r="G394">
        <v>150</v>
      </c>
      <c r="H394">
        <v>180</v>
      </c>
      <c r="I394">
        <v>35</v>
      </c>
      <c r="J394">
        <v>2</v>
      </c>
      <c r="K394">
        <v>28.875</v>
      </c>
    </row>
    <row r="395" spans="1:11">
      <c r="A395">
        <v>0.35830000000000001</v>
      </c>
      <c r="B395">
        <v>0.14549999999999999</v>
      </c>
      <c r="C395">
        <v>0.29049999999999998</v>
      </c>
      <c r="D395">
        <v>9.9000000000000008E-3</v>
      </c>
      <c r="E395">
        <v>2.7000000000000001E-3</v>
      </c>
      <c r="F395">
        <v>0.19289999999999999</v>
      </c>
      <c r="G395">
        <v>80</v>
      </c>
      <c r="H395">
        <v>160</v>
      </c>
      <c r="I395">
        <v>39</v>
      </c>
      <c r="J395">
        <v>1</v>
      </c>
      <c r="K395">
        <v>28.664000000000001</v>
      </c>
    </row>
    <row r="396" spans="1:11">
      <c r="A396">
        <v>0.33589999999999998</v>
      </c>
      <c r="B396">
        <v>5.9700000000000003E-2</v>
      </c>
      <c r="C396">
        <v>0.20349999999999999</v>
      </c>
      <c r="D396">
        <v>0.1983</v>
      </c>
      <c r="E396">
        <v>0</v>
      </c>
      <c r="F396">
        <v>0.2026</v>
      </c>
      <c r="G396">
        <v>80</v>
      </c>
      <c r="H396">
        <v>100</v>
      </c>
      <c r="I396">
        <v>35</v>
      </c>
      <c r="J396">
        <v>2</v>
      </c>
      <c r="K396">
        <v>26.872</v>
      </c>
    </row>
    <row r="397" spans="1:11">
      <c r="A397">
        <v>0.45350000000000001</v>
      </c>
      <c r="B397">
        <v>2.4500000000000001E-2</v>
      </c>
      <c r="C397">
        <v>0.12509999999999999</v>
      </c>
      <c r="D397">
        <v>4.6899999999999997E-2</v>
      </c>
      <c r="E397">
        <v>5.1900000000000002E-2</v>
      </c>
      <c r="F397">
        <v>0.29799999999999999</v>
      </c>
      <c r="G397">
        <v>90</v>
      </c>
      <c r="H397">
        <v>80</v>
      </c>
      <c r="I397">
        <v>40</v>
      </c>
      <c r="J397">
        <v>2</v>
      </c>
      <c r="K397">
        <v>40.814999999999998</v>
      </c>
    </row>
    <row r="398" spans="1:11">
      <c r="A398">
        <v>0.48449999999999999</v>
      </c>
      <c r="B398">
        <v>5.8700000000000002E-2</v>
      </c>
      <c r="C398">
        <v>0.1241</v>
      </c>
      <c r="D398">
        <v>2.0199999999999999E-2</v>
      </c>
      <c r="E398">
        <v>8.2199999999999995E-2</v>
      </c>
      <c r="F398">
        <v>0.23039999999999999</v>
      </c>
      <c r="G398">
        <v>110</v>
      </c>
      <c r="H398">
        <v>170</v>
      </c>
      <c r="I398">
        <v>42</v>
      </c>
      <c r="J398">
        <v>2</v>
      </c>
      <c r="K398">
        <v>53.295000000000002</v>
      </c>
    </row>
    <row r="399" spans="1:11">
      <c r="A399">
        <v>0.4577</v>
      </c>
      <c r="B399">
        <v>7.9100000000000004E-2</v>
      </c>
      <c r="C399">
        <v>9.8100000000000007E-2</v>
      </c>
      <c r="D399">
        <v>0</v>
      </c>
      <c r="E399">
        <v>0.1133</v>
      </c>
      <c r="F399">
        <v>0.25180000000000002</v>
      </c>
      <c r="G399">
        <v>50</v>
      </c>
      <c r="H399">
        <v>30</v>
      </c>
      <c r="I399">
        <v>53</v>
      </c>
      <c r="J399">
        <v>1</v>
      </c>
      <c r="K399">
        <v>22.885000000000002</v>
      </c>
    </row>
    <row r="400" spans="1:11">
      <c r="A400">
        <v>0.42420000000000002</v>
      </c>
      <c r="B400">
        <v>0.1019</v>
      </c>
      <c r="C400">
        <v>8.5000000000000006E-3</v>
      </c>
      <c r="D400">
        <v>6.5199999999999994E-2</v>
      </c>
      <c r="E400">
        <v>5.6000000000000001E-2</v>
      </c>
      <c r="F400">
        <v>0.34410000000000002</v>
      </c>
      <c r="G400">
        <v>50</v>
      </c>
      <c r="H400">
        <v>100</v>
      </c>
      <c r="I400">
        <v>24</v>
      </c>
      <c r="J400">
        <v>1</v>
      </c>
      <c r="K400">
        <v>21.21</v>
      </c>
    </row>
    <row r="401" spans="1:11">
      <c r="A401">
        <v>0.2974</v>
      </c>
      <c r="B401">
        <v>0.1075</v>
      </c>
      <c r="C401">
        <v>0.1777</v>
      </c>
      <c r="D401">
        <v>6.5600000000000006E-2</v>
      </c>
      <c r="E401">
        <v>0.1171</v>
      </c>
      <c r="F401">
        <v>0.23469999999999999</v>
      </c>
      <c r="G401">
        <v>90</v>
      </c>
      <c r="H401">
        <v>100</v>
      </c>
      <c r="I401">
        <v>30</v>
      </c>
      <c r="J401">
        <v>2</v>
      </c>
      <c r="K401">
        <v>26.765999999999998</v>
      </c>
    </row>
    <row r="402" spans="1:11">
      <c r="A402">
        <v>0.2908</v>
      </c>
      <c r="B402">
        <v>5.4300000000000001E-2</v>
      </c>
      <c r="C402">
        <v>0.16400000000000001</v>
      </c>
      <c r="D402">
        <v>4.7699999999999999E-2</v>
      </c>
      <c r="E402">
        <v>0.18709999999999999</v>
      </c>
      <c r="F402">
        <v>0.25609999999999999</v>
      </c>
      <c r="G402">
        <v>110</v>
      </c>
      <c r="H402">
        <v>110</v>
      </c>
      <c r="I402">
        <v>27</v>
      </c>
      <c r="J402">
        <v>1</v>
      </c>
      <c r="K402">
        <v>31.988</v>
      </c>
    </row>
    <row r="403" spans="1:11">
      <c r="A403">
        <v>0.43080000000000002</v>
      </c>
      <c r="B403">
        <v>0.11799999999999999</v>
      </c>
      <c r="C403">
        <v>0</v>
      </c>
      <c r="D403">
        <v>6.7000000000000002E-3</v>
      </c>
      <c r="E403">
        <v>0.18529999999999999</v>
      </c>
      <c r="F403">
        <v>0.2591</v>
      </c>
      <c r="G403">
        <v>50</v>
      </c>
      <c r="H403">
        <v>90</v>
      </c>
      <c r="I403">
        <v>54</v>
      </c>
      <c r="J403">
        <v>2</v>
      </c>
      <c r="K403">
        <v>21.54</v>
      </c>
    </row>
    <row r="404" spans="1:11">
      <c r="A404">
        <v>0.26350000000000001</v>
      </c>
      <c r="B404">
        <v>7.4800000000000005E-2</v>
      </c>
      <c r="C404">
        <v>0.1037</v>
      </c>
      <c r="D404">
        <v>0.15379999999999999</v>
      </c>
      <c r="E404">
        <v>0.1111</v>
      </c>
      <c r="F404">
        <v>0.29299999999999998</v>
      </c>
      <c r="G404">
        <v>90</v>
      </c>
      <c r="H404">
        <v>130</v>
      </c>
      <c r="I404">
        <v>40</v>
      </c>
      <c r="J404">
        <v>2</v>
      </c>
      <c r="K404">
        <v>23.715</v>
      </c>
    </row>
    <row r="405" spans="1:11">
      <c r="A405">
        <v>0.29139999999999999</v>
      </c>
      <c r="B405">
        <v>6.4799999999999996E-2</v>
      </c>
      <c r="C405">
        <v>2.75E-2</v>
      </c>
      <c r="D405">
        <v>7.3700000000000002E-2</v>
      </c>
      <c r="E405">
        <v>0.12759999999999999</v>
      </c>
      <c r="F405">
        <v>0.41499999999999998</v>
      </c>
      <c r="G405">
        <v>130</v>
      </c>
      <c r="H405">
        <v>150</v>
      </c>
      <c r="I405">
        <v>36</v>
      </c>
      <c r="J405">
        <v>2</v>
      </c>
      <c r="K405">
        <v>37.881999999999998</v>
      </c>
    </row>
    <row r="406" spans="1:11">
      <c r="A406">
        <v>0.32190000000000002</v>
      </c>
      <c r="B406">
        <v>0.1062</v>
      </c>
      <c r="C406">
        <v>3.0800000000000001E-2</v>
      </c>
      <c r="D406">
        <v>1.9E-2</v>
      </c>
      <c r="E406">
        <v>0.25950000000000001</v>
      </c>
      <c r="F406">
        <v>0.26269999999999999</v>
      </c>
      <c r="G406">
        <v>80</v>
      </c>
      <c r="H406">
        <v>120</v>
      </c>
      <c r="I406">
        <v>35</v>
      </c>
      <c r="J406">
        <v>2</v>
      </c>
      <c r="K406">
        <v>25.751999999999999</v>
      </c>
    </row>
    <row r="407" spans="1:11">
      <c r="A407">
        <v>0.31790000000000002</v>
      </c>
      <c r="B407">
        <v>7.1800000000000003E-2</v>
      </c>
      <c r="C407">
        <v>4.9500000000000002E-2</v>
      </c>
      <c r="D407">
        <v>2.12E-2</v>
      </c>
      <c r="E407">
        <v>9.1600000000000001E-2</v>
      </c>
      <c r="F407">
        <v>0.44800000000000001</v>
      </c>
      <c r="G407">
        <v>110</v>
      </c>
      <c r="H407">
        <v>170</v>
      </c>
      <c r="I407">
        <v>44</v>
      </c>
      <c r="J407">
        <v>2</v>
      </c>
      <c r="K407">
        <v>34.969000000000001</v>
      </c>
    </row>
    <row r="408" spans="1:11">
      <c r="A408">
        <v>0.36580000000000001</v>
      </c>
      <c r="B408">
        <v>8.0299999999999996E-2</v>
      </c>
      <c r="C408">
        <v>8.7900000000000006E-2</v>
      </c>
      <c r="D408">
        <v>0.1178</v>
      </c>
      <c r="E408">
        <v>0.16669999999999999</v>
      </c>
      <c r="F408">
        <v>0.18149999999999999</v>
      </c>
      <c r="G408">
        <v>60</v>
      </c>
      <c r="H408">
        <v>140</v>
      </c>
      <c r="I408">
        <v>60</v>
      </c>
      <c r="J408">
        <v>1</v>
      </c>
      <c r="K408">
        <v>21.948</v>
      </c>
    </row>
    <row r="409" spans="1:11">
      <c r="A409">
        <v>0.41930000000000001</v>
      </c>
      <c r="B409">
        <v>0.1095</v>
      </c>
      <c r="C409">
        <v>4.36E-2</v>
      </c>
      <c r="D409">
        <v>0.04</v>
      </c>
      <c r="E409">
        <v>5.4800000000000001E-2</v>
      </c>
      <c r="F409">
        <v>0.3327</v>
      </c>
      <c r="G409">
        <v>90</v>
      </c>
      <c r="H409">
        <v>140</v>
      </c>
      <c r="I409">
        <v>28</v>
      </c>
      <c r="J409">
        <v>2</v>
      </c>
      <c r="K409">
        <v>37.737000000000002</v>
      </c>
    </row>
    <row r="410" spans="1:11">
      <c r="A410">
        <v>0.3322</v>
      </c>
      <c r="B410">
        <v>0.1124</v>
      </c>
      <c r="C410">
        <v>0.23449999999999999</v>
      </c>
      <c r="D410">
        <v>3.0499999999999999E-2</v>
      </c>
      <c r="E410">
        <v>0.10680000000000001</v>
      </c>
      <c r="F410">
        <v>0.18360000000000001</v>
      </c>
      <c r="G410">
        <v>110</v>
      </c>
      <c r="H410">
        <v>130</v>
      </c>
      <c r="I410">
        <v>39</v>
      </c>
      <c r="J410">
        <v>2</v>
      </c>
      <c r="K410">
        <v>36.542000000000002</v>
      </c>
    </row>
    <row r="411" spans="1:11">
      <c r="A411">
        <v>0.27550000000000002</v>
      </c>
      <c r="B411">
        <v>0.12720000000000001</v>
      </c>
      <c r="C411">
        <v>0.21179999999999999</v>
      </c>
      <c r="D411">
        <v>0</v>
      </c>
      <c r="E411">
        <v>0.2717</v>
      </c>
      <c r="F411">
        <v>0.1137</v>
      </c>
      <c r="G411">
        <v>70</v>
      </c>
      <c r="H411">
        <v>110</v>
      </c>
      <c r="I411">
        <v>48</v>
      </c>
      <c r="J411">
        <v>1</v>
      </c>
      <c r="K411">
        <v>19.285</v>
      </c>
    </row>
    <row r="412" spans="1:11">
      <c r="A412">
        <v>0.39950000000000002</v>
      </c>
      <c r="B412">
        <v>7.17E-2</v>
      </c>
      <c r="C412">
        <v>0.1671</v>
      </c>
      <c r="D412">
        <v>0.1148</v>
      </c>
      <c r="E412">
        <v>4.3999999999999997E-2</v>
      </c>
      <c r="F412">
        <v>0.2029</v>
      </c>
      <c r="G412">
        <v>100</v>
      </c>
      <c r="H412">
        <v>100</v>
      </c>
      <c r="I412">
        <v>38</v>
      </c>
      <c r="J412">
        <v>2</v>
      </c>
      <c r="K412">
        <v>39.950000000000003</v>
      </c>
    </row>
    <row r="413" spans="1:11">
      <c r="A413">
        <v>0.44119999999999998</v>
      </c>
      <c r="B413">
        <v>9.1899999999999996E-2</v>
      </c>
      <c r="C413">
        <v>4.2999999999999997E-2</v>
      </c>
      <c r="D413">
        <v>3.9E-2</v>
      </c>
      <c r="E413">
        <v>0.1124</v>
      </c>
      <c r="F413">
        <v>0.27250000000000002</v>
      </c>
      <c r="G413">
        <v>80</v>
      </c>
      <c r="H413">
        <v>120</v>
      </c>
      <c r="I413">
        <v>38</v>
      </c>
      <c r="J413">
        <v>2</v>
      </c>
      <c r="K413">
        <v>35.295999999999999</v>
      </c>
    </row>
    <row r="414" spans="1:11">
      <c r="A414">
        <v>0.2167</v>
      </c>
      <c r="B414">
        <v>0.18590000000000001</v>
      </c>
      <c r="C414">
        <v>0</v>
      </c>
      <c r="D414">
        <v>5.3699999999999998E-2</v>
      </c>
      <c r="E414">
        <v>1.6299999999999999E-2</v>
      </c>
      <c r="F414">
        <v>0.52739999999999998</v>
      </c>
      <c r="G414">
        <v>90</v>
      </c>
      <c r="H414">
        <v>210</v>
      </c>
      <c r="I414">
        <v>42</v>
      </c>
      <c r="J414">
        <v>2</v>
      </c>
      <c r="K414">
        <v>19.503</v>
      </c>
    </row>
    <row r="415" spans="1:11">
      <c r="A415">
        <v>0.46800000000000003</v>
      </c>
      <c r="B415">
        <v>0.1191</v>
      </c>
      <c r="C415">
        <v>9.4000000000000004E-3</v>
      </c>
      <c r="D415">
        <v>2.4400000000000002E-2</v>
      </c>
      <c r="E415">
        <v>8.3799999999999999E-2</v>
      </c>
      <c r="F415">
        <v>0.29530000000000001</v>
      </c>
      <c r="G415">
        <v>100</v>
      </c>
      <c r="H415">
        <v>90</v>
      </c>
      <c r="I415">
        <v>44</v>
      </c>
      <c r="J415">
        <v>2</v>
      </c>
      <c r="K415">
        <v>46.8</v>
      </c>
    </row>
    <row r="416" spans="1:11">
      <c r="A416">
        <v>0.4914</v>
      </c>
      <c r="B416">
        <v>5.7000000000000002E-2</v>
      </c>
      <c r="C416">
        <v>8.9899999999999994E-2</v>
      </c>
      <c r="D416">
        <v>5.8599999999999999E-2</v>
      </c>
      <c r="E416">
        <v>0.106</v>
      </c>
      <c r="F416">
        <v>0.1971</v>
      </c>
      <c r="G416">
        <v>80</v>
      </c>
      <c r="H416">
        <v>90</v>
      </c>
      <c r="I416">
        <v>53</v>
      </c>
      <c r="J416">
        <v>2</v>
      </c>
      <c r="K416">
        <v>39.311999999999998</v>
      </c>
    </row>
    <row r="417" spans="1:11">
      <c r="A417">
        <v>0.30530000000000002</v>
      </c>
      <c r="B417">
        <v>7.8399999999999997E-2</v>
      </c>
      <c r="C417">
        <v>0.19939999999999999</v>
      </c>
      <c r="D417">
        <v>0.02</v>
      </c>
      <c r="E417">
        <v>0.28439999999999999</v>
      </c>
      <c r="F417">
        <v>0.1125</v>
      </c>
      <c r="G417">
        <v>70</v>
      </c>
      <c r="H417">
        <v>60</v>
      </c>
      <c r="I417">
        <v>30</v>
      </c>
      <c r="J417">
        <v>2</v>
      </c>
      <c r="K417">
        <v>21.370999999999999</v>
      </c>
    </row>
    <row r="418" spans="1:11">
      <c r="A418">
        <v>0.32300000000000001</v>
      </c>
      <c r="B418">
        <v>8.9099999999999999E-2</v>
      </c>
      <c r="C418">
        <v>8.7800000000000003E-2</v>
      </c>
      <c r="D418">
        <v>0.1258</v>
      </c>
      <c r="E418">
        <v>9.1200000000000003E-2</v>
      </c>
      <c r="F418">
        <v>0.28310000000000002</v>
      </c>
      <c r="G418">
        <v>100</v>
      </c>
      <c r="H418">
        <v>120</v>
      </c>
      <c r="I418">
        <v>30</v>
      </c>
      <c r="J418">
        <v>2</v>
      </c>
      <c r="K418">
        <v>32.299999999999997</v>
      </c>
    </row>
    <row r="419" spans="1:11">
      <c r="A419">
        <v>0.41239999999999999</v>
      </c>
      <c r="B419">
        <v>0.1031</v>
      </c>
      <c r="C419">
        <v>0.01</v>
      </c>
      <c r="D419">
        <v>1.54E-2</v>
      </c>
      <c r="E419">
        <v>3.0200000000000001E-2</v>
      </c>
      <c r="F419">
        <v>0.42880000000000001</v>
      </c>
      <c r="G419">
        <v>70</v>
      </c>
      <c r="H419">
        <v>110</v>
      </c>
      <c r="I419">
        <v>34</v>
      </c>
      <c r="J419">
        <v>2</v>
      </c>
      <c r="K419">
        <v>28.867999999999999</v>
      </c>
    </row>
    <row r="420" spans="1:11">
      <c r="A420">
        <v>0.49830000000000002</v>
      </c>
      <c r="B420">
        <v>0.11020000000000001</v>
      </c>
      <c r="C420">
        <v>3.5000000000000001E-3</v>
      </c>
      <c r="D420">
        <v>6.8000000000000005E-2</v>
      </c>
      <c r="E420">
        <v>0.16869999999999999</v>
      </c>
      <c r="F420">
        <v>0.15129999999999999</v>
      </c>
      <c r="G420">
        <v>60</v>
      </c>
      <c r="H420">
        <v>80</v>
      </c>
      <c r="I420">
        <v>57</v>
      </c>
      <c r="J420">
        <v>1</v>
      </c>
      <c r="K420">
        <v>29.898</v>
      </c>
    </row>
    <row r="421" spans="1:11">
      <c r="A421">
        <v>0.48599999999999999</v>
      </c>
      <c r="B421">
        <v>6.3799999999999996E-2</v>
      </c>
      <c r="C421">
        <v>3.2000000000000001E-2</v>
      </c>
      <c r="D421">
        <v>0</v>
      </c>
      <c r="E421">
        <v>8.3199999999999996E-2</v>
      </c>
      <c r="F421">
        <v>0.33510000000000001</v>
      </c>
      <c r="G421">
        <v>70</v>
      </c>
      <c r="H421">
        <v>90</v>
      </c>
      <c r="I421">
        <v>59</v>
      </c>
      <c r="J421">
        <v>2</v>
      </c>
      <c r="K421">
        <v>34.020000000000003</v>
      </c>
    </row>
    <row r="422" spans="1:11">
      <c r="A422">
        <v>0.29060000000000002</v>
      </c>
      <c r="B422">
        <v>4.9500000000000002E-2</v>
      </c>
      <c r="C422">
        <v>0.1326</v>
      </c>
      <c r="D422">
        <v>8.48E-2</v>
      </c>
      <c r="E422">
        <v>0.22620000000000001</v>
      </c>
      <c r="F422">
        <v>0.21629999999999999</v>
      </c>
      <c r="G422">
        <v>80</v>
      </c>
      <c r="H422">
        <v>150</v>
      </c>
      <c r="I422">
        <v>36</v>
      </c>
      <c r="J422">
        <v>1</v>
      </c>
      <c r="K422">
        <v>23.248000000000001</v>
      </c>
    </row>
    <row r="423" spans="1:11">
      <c r="A423">
        <v>0.38340000000000002</v>
      </c>
      <c r="B423">
        <v>8.7300000000000003E-2</v>
      </c>
      <c r="C423">
        <v>1.3100000000000001E-2</v>
      </c>
      <c r="D423">
        <v>0.12870000000000001</v>
      </c>
      <c r="E423">
        <v>9.9299999999999999E-2</v>
      </c>
      <c r="F423">
        <v>0.28820000000000001</v>
      </c>
      <c r="G423">
        <v>80</v>
      </c>
      <c r="H423">
        <v>130</v>
      </c>
      <c r="I423">
        <v>42</v>
      </c>
      <c r="J423">
        <v>1</v>
      </c>
      <c r="K423">
        <v>30.672000000000001</v>
      </c>
    </row>
    <row r="424" spans="1:11">
      <c r="A424">
        <v>0.49490000000000001</v>
      </c>
      <c r="B424">
        <v>0.24399999999999999</v>
      </c>
      <c r="C424">
        <v>7.4399999999999994E-2</v>
      </c>
      <c r="D424">
        <v>0</v>
      </c>
      <c r="E424">
        <v>3.7499999999999999E-2</v>
      </c>
      <c r="F424">
        <v>0.14929999999999999</v>
      </c>
      <c r="G424">
        <v>60</v>
      </c>
      <c r="H424">
        <v>90</v>
      </c>
      <c r="I424">
        <v>32</v>
      </c>
      <c r="J424">
        <v>1</v>
      </c>
      <c r="K424">
        <v>29.693999999999999</v>
      </c>
    </row>
    <row r="425" spans="1:11">
      <c r="A425">
        <v>0.30919999999999997</v>
      </c>
      <c r="B425">
        <v>0.12189999999999999</v>
      </c>
      <c r="C425">
        <v>7.0499999999999993E-2</v>
      </c>
      <c r="D425">
        <v>0</v>
      </c>
      <c r="E425">
        <v>0.1003</v>
      </c>
      <c r="F425">
        <v>0.3982</v>
      </c>
      <c r="G425">
        <v>50</v>
      </c>
      <c r="H425">
        <v>110</v>
      </c>
      <c r="I425">
        <v>36</v>
      </c>
      <c r="J425">
        <v>1</v>
      </c>
      <c r="K425">
        <v>15.46</v>
      </c>
    </row>
    <row r="426" spans="1:11">
      <c r="A426">
        <v>0.33239999999999997</v>
      </c>
      <c r="B426">
        <v>5.6099999999999997E-2</v>
      </c>
      <c r="C426">
        <v>0.1424</v>
      </c>
      <c r="D426">
        <v>6.8599999999999994E-2</v>
      </c>
      <c r="E426">
        <v>7.8600000000000003E-2</v>
      </c>
      <c r="F426">
        <v>0.32200000000000001</v>
      </c>
      <c r="G426">
        <v>100</v>
      </c>
      <c r="H426">
        <v>130</v>
      </c>
      <c r="I426">
        <v>20</v>
      </c>
      <c r="J426">
        <v>2</v>
      </c>
      <c r="K426">
        <v>33.24</v>
      </c>
    </row>
    <row r="427" spans="1:11">
      <c r="A427">
        <v>0.29189999999999999</v>
      </c>
      <c r="B427">
        <v>6.0400000000000002E-2</v>
      </c>
      <c r="C427">
        <v>0.2661</v>
      </c>
      <c r="D427">
        <v>0.1162</v>
      </c>
      <c r="E427">
        <v>4.87E-2</v>
      </c>
      <c r="F427">
        <v>0.21679999999999999</v>
      </c>
      <c r="G427">
        <v>120</v>
      </c>
      <c r="H427">
        <v>160</v>
      </c>
      <c r="I427">
        <v>38</v>
      </c>
      <c r="J427">
        <v>1</v>
      </c>
      <c r="K427">
        <v>35.027999999999999</v>
      </c>
    </row>
    <row r="428" spans="1:11">
      <c r="A428">
        <v>0.39500000000000002</v>
      </c>
      <c r="B428">
        <v>3.8199999999999998E-2</v>
      </c>
      <c r="C428">
        <v>0.12690000000000001</v>
      </c>
      <c r="D428">
        <v>7.1900000000000006E-2</v>
      </c>
      <c r="E428">
        <v>0.22439999999999999</v>
      </c>
      <c r="F428">
        <v>0.14369999999999999</v>
      </c>
      <c r="G428">
        <v>120</v>
      </c>
      <c r="H428">
        <v>160</v>
      </c>
      <c r="I428">
        <v>34</v>
      </c>
      <c r="J428">
        <v>2</v>
      </c>
      <c r="K428">
        <v>47.4</v>
      </c>
    </row>
    <row r="429" spans="1:11">
      <c r="A429">
        <v>0.44259999999999999</v>
      </c>
      <c r="B429">
        <v>0.13619999999999999</v>
      </c>
      <c r="C429">
        <v>3.8999999999999998E-3</v>
      </c>
      <c r="D429">
        <v>4.7500000000000001E-2</v>
      </c>
      <c r="E429">
        <v>0.16470000000000001</v>
      </c>
      <c r="F429">
        <v>0.20519999999999999</v>
      </c>
      <c r="G429">
        <v>70</v>
      </c>
      <c r="H429">
        <v>110</v>
      </c>
      <c r="I429">
        <v>32</v>
      </c>
      <c r="J429">
        <v>2</v>
      </c>
      <c r="K429">
        <v>30.981999999999999</v>
      </c>
    </row>
    <row r="430" spans="1:11">
      <c r="A430">
        <v>0.3548</v>
      </c>
      <c r="B430">
        <v>5.4399999999999997E-2</v>
      </c>
      <c r="C430">
        <v>0.1201</v>
      </c>
      <c r="D430">
        <v>0.16500000000000001</v>
      </c>
      <c r="E430">
        <v>0.1774</v>
      </c>
      <c r="F430">
        <v>0.12839999999999999</v>
      </c>
      <c r="G430">
        <v>80</v>
      </c>
      <c r="H430">
        <v>180</v>
      </c>
      <c r="I430">
        <v>42</v>
      </c>
      <c r="J430">
        <v>1</v>
      </c>
      <c r="K430">
        <v>28.384</v>
      </c>
    </row>
    <row r="431" spans="1:11">
      <c r="A431">
        <v>0.37490000000000001</v>
      </c>
      <c r="B431">
        <v>9.7600000000000006E-2</v>
      </c>
      <c r="C431">
        <v>1.0800000000000001E-2</v>
      </c>
      <c r="D431">
        <v>1.4E-2</v>
      </c>
      <c r="E431">
        <v>4.7600000000000003E-2</v>
      </c>
      <c r="F431">
        <v>0.45519999999999999</v>
      </c>
      <c r="G431">
        <v>70</v>
      </c>
      <c r="H431">
        <v>100</v>
      </c>
      <c r="I431">
        <v>37</v>
      </c>
      <c r="J431">
        <v>2</v>
      </c>
      <c r="K431">
        <v>26.242999999999999</v>
      </c>
    </row>
    <row r="432" spans="1:11">
      <c r="A432">
        <v>0.49919999999999998</v>
      </c>
      <c r="B432">
        <v>0.15809999999999999</v>
      </c>
      <c r="C432">
        <v>3.8899999999999997E-2</v>
      </c>
      <c r="D432">
        <v>2.0799999999999999E-2</v>
      </c>
      <c r="E432">
        <v>8.3299999999999999E-2</v>
      </c>
      <c r="F432">
        <v>0.19969999999999999</v>
      </c>
      <c r="G432">
        <v>50</v>
      </c>
      <c r="H432">
        <v>90</v>
      </c>
      <c r="I432">
        <v>54</v>
      </c>
      <c r="J432">
        <v>1</v>
      </c>
      <c r="K432">
        <v>24.96</v>
      </c>
    </row>
    <row r="433" spans="1:11">
      <c r="A433">
        <v>0.45750000000000002</v>
      </c>
      <c r="B433">
        <v>4.6600000000000003E-2</v>
      </c>
      <c r="C433">
        <v>8.9200000000000002E-2</v>
      </c>
      <c r="D433">
        <v>7.2300000000000003E-2</v>
      </c>
      <c r="E433">
        <v>0.12970000000000001</v>
      </c>
      <c r="F433">
        <v>0.2049</v>
      </c>
      <c r="G433">
        <v>90</v>
      </c>
      <c r="H433">
        <v>100</v>
      </c>
      <c r="I433">
        <v>37</v>
      </c>
      <c r="J433">
        <v>2</v>
      </c>
      <c r="K433">
        <v>41.174999999999997</v>
      </c>
    </row>
    <row r="434" spans="1:11">
      <c r="A434">
        <v>0.54079999999999995</v>
      </c>
      <c r="B434">
        <v>7.0099999999999996E-2</v>
      </c>
      <c r="C434">
        <v>3.3000000000000002E-2</v>
      </c>
      <c r="D434">
        <v>0</v>
      </c>
      <c r="E434">
        <v>3.0300000000000001E-2</v>
      </c>
      <c r="F434">
        <v>0.32579999999999998</v>
      </c>
      <c r="G434">
        <v>50</v>
      </c>
      <c r="H434">
        <v>80</v>
      </c>
      <c r="I434">
        <v>32</v>
      </c>
      <c r="J434">
        <v>1</v>
      </c>
      <c r="K434">
        <v>27.04</v>
      </c>
    </row>
    <row r="435" spans="1:11">
      <c r="A435">
        <v>0.40720000000000001</v>
      </c>
      <c r="B435">
        <v>7.9500000000000001E-2</v>
      </c>
      <c r="C435">
        <v>2.9499999999999998E-2</v>
      </c>
      <c r="D435">
        <v>1.1299999999999999E-2</v>
      </c>
      <c r="E435">
        <v>0.16489999999999999</v>
      </c>
      <c r="F435">
        <v>0.3075</v>
      </c>
      <c r="G435">
        <v>80</v>
      </c>
      <c r="H435">
        <v>60</v>
      </c>
      <c r="I435">
        <v>28</v>
      </c>
      <c r="J435">
        <v>2</v>
      </c>
      <c r="K435">
        <v>32.576000000000001</v>
      </c>
    </row>
    <row r="436" spans="1:11">
      <c r="A436">
        <v>0.45</v>
      </c>
      <c r="B436">
        <v>5.6300000000000003E-2</v>
      </c>
      <c r="C436">
        <v>5.1700000000000003E-2</v>
      </c>
      <c r="D436">
        <v>9.9699999999999997E-2</v>
      </c>
      <c r="E436">
        <v>3.1899999999999998E-2</v>
      </c>
      <c r="F436">
        <v>0.31040000000000001</v>
      </c>
      <c r="G436">
        <v>70</v>
      </c>
      <c r="H436">
        <v>160</v>
      </c>
      <c r="I436">
        <v>30</v>
      </c>
      <c r="J436">
        <v>2</v>
      </c>
      <c r="K436">
        <v>31.5</v>
      </c>
    </row>
    <row r="437" spans="1:11">
      <c r="A437">
        <v>0.34129999999999999</v>
      </c>
      <c r="B437">
        <v>8.14E-2</v>
      </c>
      <c r="C437">
        <v>4.9799999999999997E-2</v>
      </c>
      <c r="D437">
        <v>4.4699999999999997E-2</v>
      </c>
      <c r="E437">
        <v>0.17960000000000001</v>
      </c>
      <c r="F437">
        <v>0.30320000000000003</v>
      </c>
      <c r="G437">
        <v>120</v>
      </c>
      <c r="H437">
        <v>140</v>
      </c>
      <c r="I437">
        <v>39</v>
      </c>
      <c r="J437">
        <v>2</v>
      </c>
      <c r="K437">
        <v>40.956000000000003</v>
      </c>
    </row>
    <row r="438" spans="1:11">
      <c r="A438">
        <v>0.44180000000000003</v>
      </c>
      <c r="B438">
        <v>0.1401</v>
      </c>
      <c r="C438">
        <v>5.4199999999999998E-2</v>
      </c>
      <c r="D438">
        <v>0</v>
      </c>
      <c r="E438">
        <v>0.15390000000000001</v>
      </c>
      <c r="F438">
        <v>0.2099</v>
      </c>
      <c r="G438">
        <v>60</v>
      </c>
      <c r="H438">
        <v>60</v>
      </c>
      <c r="I438">
        <v>41</v>
      </c>
      <c r="J438">
        <v>2</v>
      </c>
      <c r="K438">
        <v>26.507999999999999</v>
      </c>
    </row>
    <row r="439" spans="1:11">
      <c r="A439">
        <v>0.3266</v>
      </c>
      <c r="B439">
        <v>5.74E-2</v>
      </c>
      <c r="C439">
        <v>6.9000000000000006E-2</v>
      </c>
      <c r="D439">
        <v>0</v>
      </c>
      <c r="E439">
        <v>2.63E-2</v>
      </c>
      <c r="F439">
        <v>0.52059999999999995</v>
      </c>
      <c r="G439">
        <v>80</v>
      </c>
      <c r="H439">
        <v>70</v>
      </c>
      <c r="I439">
        <v>41</v>
      </c>
      <c r="J439">
        <v>1</v>
      </c>
      <c r="K439">
        <v>26.128</v>
      </c>
    </row>
    <row r="440" spans="1:11">
      <c r="A440">
        <v>0.38440000000000002</v>
      </c>
      <c r="B440">
        <v>8.6999999999999994E-2</v>
      </c>
      <c r="C440">
        <v>0.307</v>
      </c>
      <c r="D440">
        <v>2.4E-2</v>
      </c>
      <c r="E440">
        <v>3.1600000000000003E-2</v>
      </c>
      <c r="F440">
        <v>0.16589999999999999</v>
      </c>
      <c r="G440">
        <v>130</v>
      </c>
      <c r="H440">
        <v>170</v>
      </c>
      <c r="I440">
        <v>38</v>
      </c>
      <c r="J440">
        <v>2</v>
      </c>
      <c r="K440">
        <v>49.972000000000001</v>
      </c>
    </row>
    <row r="441" spans="1:11">
      <c r="A441">
        <v>0.37280000000000002</v>
      </c>
      <c r="B441">
        <v>0.13619999999999999</v>
      </c>
      <c r="C441">
        <v>0.1726</v>
      </c>
      <c r="D441">
        <v>0</v>
      </c>
      <c r="E441">
        <v>6.6000000000000003E-2</v>
      </c>
      <c r="F441">
        <v>0.25240000000000001</v>
      </c>
      <c r="G441">
        <v>70</v>
      </c>
      <c r="H441">
        <v>120</v>
      </c>
      <c r="I441">
        <v>41</v>
      </c>
      <c r="J441">
        <v>1</v>
      </c>
      <c r="K441">
        <v>26.096</v>
      </c>
    </row>
    <row r="442" spans="1:11">
      <c r="A442">
        <v>0.251</v>
      </c>
      <c r="B442">
        <v>5.5500000000000001E-2</v>
      </c>
      <c r="C442">
        <v>0.13669999999999999</v>
      </c>
      <c r="D442">
        <v>0.21060000000000001</v>
      </c>
      <c r="E442">
        <v>9.4600000000000004E-2</v>
      </c>
      <c r="F442">
        <v>0.25169999999999998</v>
      </c>
      <c r="G442">
        <v>70</v>
      </c>
      <c r="H442">
        <v>120</v>
      </c>
      <c r="I442">
        <v>25</v>
      </c>
      <c r="J442">
        <v>1</v>
      </c>
      <c r="K442">
        <v>17.57</v>
      </c>
    </row>
    <row r="443" spans="1:11">
      <c r="A443">
        <v>0.23150000000000001</v>
      </c>
      <c r="B443">
        <v>3.5499999999999997E-2</v>
      </c>
      <c r="C443">
        <v>0.19389999999999999</v>
      </c>
      <c r="D443">
        <v>0</v>
      </c>
      <c r="E443">
        <v>0.15989999999999999</v>
      </c>
      <c r="F443">
        <v>0.37919999999999998</v>
      </c>
      <c r="G443">
        <v>70</v>
      </c>
      <c r="H443">
        <v>110</v>
      </c>
      <c r="I443">
        <v>46</v>
      </c>
      <c r="J443">
        <v>1</v>
      </c>
      <c r="K443">
        <v>16.204999999999998</v>
      </c>
    </row>
    <row r="444" spans="1:11">
      <c r="A444">
        <v>0.39560000000000001</v>
      </c>
      <c r="B444">
        <v>3.1E-2</v>
      </c>
      <c r="C444">
        <v>0.19389999999999999</v>
      </c>
      <c r="D444">
        <v>0</v>
      </c>
      <c r="E444">
        <v>5.6500000000000002E-2</v>
      </c>
      <c r="F444">
        <v>0.32300000000000001</v>
      </c>
      <c r="G444">
        <v>80</v>
      </c>
      <c r="H444">
        <v>100</v>
      </c>
      <c r="I444">
        <v>39</v>
      </c>
      <c r="J444">
        <v>2</v>
      </c>
      <c r="K444">
        <v>31.648</v>
      </c>
    </row>
    <row r="445" spans="1:11">
      <c r="A445">
        <v>0.42109999999999997</v>
      </c>
      <c r="B445">
        <v>0.1082</v>
      </c>
      <c r="C445">
        <v>1.4500000000000001E-2</v>
      </c>
      <c r="D445">
        <v>2.5600000000000001E-2</v>
      </c>
      <c r="E445">
        <v>9.8199999999999996E-2</v>
      </c>
      <c r="F445">
        <v>0.33229999999999998</v>
      </c>
      <c r="G445">
        <v>140</v>
      </c>
      <c r="H445">
        <v>220</v>
      </c>
      <c r="I445">
        <v>35</v>
      </c>
      <c r="J445">
        <v>2</v>
      </c>
      <c r="K445">
        <v>58.954000000000001</v>
      </c>
    </row>
    <row r="446" spans="1:11">
      <c r="A446">
        <v>0.2742</v>
      </c>
      <c r="B446">
        <v>0.1893</v>
      </c>
      <c r="C446">
        <v>0.32519999999999999</v>
      </c>
      <c r="D446">
        <v>4.7999999999999996E-3</v>
      </c>
      <c r="E446">
        <v>0.13059999999999999</v>
      </c>
      <c r="F446">
        <v>7.5800000000000006E-2</v>
      </c>
      <c r="G446">
        <v>110</v>
      </c>
      <c r="H446">
        <v>80</v>
      </c>
      <c r="I446">
        <v>39</v>
      </c>
      <c r="J446">
        <v>1</v>
      </c>
      <c r="K446">
        <v>30.161999999999999</v>
      </c>
    </row>
    <row r="447" spans="1:11">
      <c r="A447">
        <v>0.18890000000000001</v>
      </c>
      <c r="B447">
        <v>4.3900000000000002E-2</v>
      </c>
      <c r="C447">
        <v>2.41E-2</v>
      </c>
      <c r="D447">
        <v>2.1600000000000001E-2</v>
      </c>
      <c r="E447">
        <v>8.1699999999999995E-2</v>
      </c>
      <c r="F447">
        <v>0.63980000000000004</v>
      </c>
      <c r="G447">
        <v>140</v>
      </c>
      <c r="H447">
        <v>120</v>
      </c>
      <c r="I447">
        <v>28</v>
      </c>
      <c r="J447">
        <v>2</v>
      </c>
      <c r="K447">
        <v>26.446000000000002</v>
      </c>
    </row>
    <row r="448" spans="1:11">
      <c r="A448">
        <v>0.4803</v>
      </c>
      <c r="B448">
        <v>0.14299999999999999</v>
      </c>
      <c r="C448">
        <v>5.5E-2</v>
      </c>
      <c r="D448">
        <v>5.7000000000000002E-3</v>
      </c>
      <c r="E448">
        <v>0.15609999999999999</v>
      </c>
      <c r="F448">
        <v>0.1598</v>
      </c>
      <c r="G448">
        <v>60</v>
      </c>
      <c r="H448">
        <v>110</v>
      </c>
      <c r="I448">
        <v>31</v>
      </c>
      <c r="J448">
        <v>2</v>
      </c>
      <c r="K448">
        <v>28.818000000000001</v>
      </c>
    </row>
    <row r="449" spans="1:11">
      <c r="A449">
        <v>0.50719999999999998</v>
      </c>
      <c r="B449">
        <v>0.10639999999999999</v>
      </c>
      <c r="C449">
        <v>2.87E-2</v>
      </c>
      <c r="D449">
        <v>3.7400000000000003E-2</v>
      </c>
      <c r="E449">
        <v>0.16650000000000001</v>
      </c>
      <c r="F449">
        <v>0.15379999999999999</v>
      </c>
      <c r="G449">
        <v>50</v>
      </c>
      <c r="H449">
        <v>110</v>
      </c>
      <c r="I449">
        <v>34</v>
      </c>
      <c r="J449">
        <v>2</v>
      </c>
      <c r="K449">
        <v>25.36</v>
      </c>
    </row>
    <row r="450" spans="1:11">
      <c r="A450">
        <v>0.4627</v>
      </c>
      <c r="B450">
        <v>9.7299999999999998E-2</v>
      </c>
      <c r="C450">
        <v>6.5100000000000005E-2</v>
      </c>
      <c r="D450">
        <v>9.9000000000000005E-2</v>
      </c>
      <c r="E450">
        <v>0.155</v>
      </c>
      <c r="F450">
        <v>0.12089999999999999</v>
      </c>
      <c r="G450">
        <v>80</v>
      </c>
      <c r="H450">
        <v>160</v>
      </c>
      <c r="I450">
        <v>34</v>
      </c>
      <c r="J450">
        <v>2</v>
      </c>
      <c r="K450">
        <v>37.015999999999998</v>
      </c>
    </row>
    <row r="451" spans="1:11">
      <c r="A451">
        <v>0.18690000000000001</v>
      </c>
      <c r="B451">
        <v>0.35289999999999999</v>
      </c>
      <c r="C451">
        <v>3.9300000000000002E-2</v>
      </c>
      <c r="D451">
        <v>0</v>
      </c>
      <c r="E451">
        <v>0</v>
      </c>
      <c r="F451">
        <v>0.4209</v>
      </c>
      <c r="G451">
        <v>130</v>
      </c>
      <c r="H451">
        <v>1110</v>
      </c>
      <c r="I451">
        <v>50</v>
      </c>
      <c r="J451">
        <v>1</v>
      </c>
      <c r="K451">
        <v>24.297000000000001</v>
      </c>
    </row>
    <row r="452" spans="1:11">
      <c r="A452">
        <v>0.11940000000000001</v>
      </c>
      <c r="B452">
        <v>6.08E-2</v>
      </c>
      <c r="C452">
        <v>0.1118</v>
      </c>
      <c r="D452">
        <v>5.0599999999999999E-2</v>
      </c>
      <c r="E452">
        <v>9.7000000000000003E-3</v>
      </c>
      <c r="F452">
        <v>0.64770000000000005</v>
      </c>
      <c r="G452">
        <v>270</v>
      </c>
      <c r="H452">
        <v>300</v>
      </c>
      <c r="I452">
        <v>41</v>
      </c>
      <c r="J452">
        <v>1</v>
      </c>
      <c r="K452">
        <v>32.238</v>
      </c>
    </row>
    <row r="453" spans="1:11">
      <c r="A453">
        <v>0.47799999999999998</v>
      </c>
      <c r="B453">
        <v>0.1081</v>
      </c>
      <c r="C453">
        <v>3.2800000000000003E-2</v>
      </c>
      <c r="D453">
        <v>6.7000000000000002E-3</v>
      </c>
      <c r="E453">
        <v>0.16159999999999999</v>
      </c>
      <c r="F453">
        <v>0.21290000000000001</v>
      </c>
      <c r="G453">
        <v>80</v>
      </c>
      <c r="H453">
        <v>120</v>
      </c>
      <c r="I453">
        <v>35</v>
      </c>
      <c r="J453">
        <v>2</v>
      </c>
      <c r="K453">
        <v>38.24</v>
      </c>
    </row>
    <row r="454" spans="1:11">
      <c r="A454">
        <v>0.24010000000000001</v>
      </c>
      <c r="B454">
        <v>3.4099999999999998E-2</v>
      </c>
      <c r="C454">
        <v>0.13700000000000001</v>
      </c>
      <c r="D454">
        <v>0.22770000000000001</v>
      </c>
      <c r="E454">
        <v>0.1966</v>
      </c>
      <c r="F454">
        <v>0.16450000000000001</v>
      </c>
      <c r="G454">
        <v>110</v>
      </c>
      <c r="H454">
        <v>130</v>
      </c>
      <c r="I454">
        <v>33</v>
      </c>
      <c r="J454">
        <v>1</v>
      </c>
      <c r="K454">
        <v>26.411000000000001</v>
      </c>
    </row>
    <row r="455" spans="1:11">
      <c r="A455">
        <v>0.33689999999999998</v>
      </c>
      <c r="B455">
        <v>7.1900000000000006E-2</v>
      </c>
      <c r="C455">
        <v>0.29260000000000003</v>
      </c>
      <c r="D455">
        <v>3.4200000000000001E-2</v>
      </c>
      <c r="E455">
        <v>0.15570000000000001</v>
      </c>
      <c r="F455">
        <v>0.1087</v>
      </c>
      <c r="G455">
        <v>120</v>
      </c>
      <c r="H455">
        <v>120</v>
      </c>
      <c r="I455">
        <v>37</v>
      </c>
      <c r="J455">
        <v>2</v>
      </c>
      <c r="K455">
        <v>40.427999999999997</v>
      </c>
    </row>
    <row r="456" spans="1:11">
      <c r="A456">
        <v>0.36109999999999998</v>
      </c>
      <c r="B456">
        <v>9.4700000000000006E-2</v>
      </c>
      <c r="C456">
        <v>0.1177</v>
      </c>
      <c r="D456">
        <v>8.7900000000000006E-2</v>
      </c>
      <c r="E456">
        <v>0.1673</v>
      </c>
      <c r="F456">
        <v>0.17119999999999999</v>
      </c>
      <c r="G456">
        <v>110</v>
      </c>
      <c r="H456">
        <v>150</v>
      </c>
      <c r="I456">
        <v>43</v>
      </c>
      <c r="J456">
        <v>1</v>
      </c>
      <c r="K456">
        <v>39.720999999999997</v>
      </c>
    </row>
    <row r="457" spans="1:11">
      <c r="A457">
        <v>0.40200000000000002</v>
      </c>
      <c r="B457">
        <v>0.10539999999999999</v>
      </c>
      <c r="C457">
        <v>2.3400000000000001E-2</v>
      </c>
      <c r="D457">
        <v>2.92E-2</v>
      </c>
      <c r="E457">
        <v>0.19600000000000001</v>
      </c>
      <c r="F457">
        <v>0.24399999999999999</v>
      </c>
      <c r="G457">
        <v>80</v>
      </c>
      <c r="H457">
        <v>90</v>
      </c>
      <c r="I457">
        <v>27</v>
      </c>
      <c r="J457">
        <v>1</v>
      </c>
      <c r="K457">
        <v>32.159999999999997</v>
      </c>
    </row>
    <row r="458" spans="1:11">
      <c r="A458">
        <v>0.31109999999999999</v>
      </c>
      <c r="B458">
        <v>8.1000000000000003E-2</v>
      </c>
      <c r="C458">
        <v>6.6000000000000003E-2</v>
      </c>
      <c r="D458">
        <v>0.20669999999999999</v>
      </c>
      <c r="E458">
        <v>4.4400000000000002E-2</v>
      </c>
      <c r="F458">
        <v>0.2908</v>
      </c>
      <c r="G458">
        <v>80</v>
      </c>
      <c r="H458">
        <v>190</v>
      </c>
      <c r="I458">
        <v>55</v>
      </c>
      <c r="J458">
        <v>1</v>
      </c>
      <c r="K458">
        <v>24.888000000000002</v>
      </c>
    </row>
    <row r="459" spans="1:11">
      <c r="A459">
        <v>0.26889999999999997</v>
      </c>
      <c r="B459">
        <v>7.8899999999999998E-2</v>
      </c>
      <c r="C459">
        <v>0.29480000000000001</v>
      </c>
      <c r="D459">
        <v>0</v>
      </c>
      <c r="E459">
        <v>0.1036</v>
      </c>
      <c r="F459">
        <v>0.25380000000000003</v>
      </c>
      <c r="G459">
        <v>100</v>
      </c>
      <c r="H459">
        <v>80</v>
      </c>
      <c r="I459">
        <v>60</v>
      </c>
      <c r="J459">
        <v>1</v>
      </c>
      <c r="K459">
        <v>26.89</v>
      </c>
    </row>
    <row r="460" spans="1:11">
      <c r="A460">
        <v>0.1158</v>
      </c>
      <c r="B460">
        <v>4.4299999999999999E-2</v>
      </c>
      <c r="C460">
        <v>0.15429999999999999</v>
      </c>
      <c r="D460">
        <v>2.1299999999999999E-2</v>
      </c>
      <c r="E460">
        <v>0.1239</v>
      </c>
      <c r="F460">
        <v>0.54039999999999999</v>
      </c>
      <c r="G460">
        <v>200</v>
      </c>
      <c r="H460">
        <v>90</v>
      </c>
      <c r="I460">
        <v>25</v>
      </c>
      <c r="J460">
        <v>1</v>
      </c>
      <c r="K460">
        <v>23.16</v>
      </c>
    </row>
    <row r="461" spans="1:11">
      <c r="A461">
        <v>0.25440000000000002</v>
      </c>
      <c r="B461">
        <v>3.4700000000000002E-2</v>
      </c>
      <c r="C461">
        <v>0.32829999999999998</v>
      </c>
      <c r="D461">
        <v>0.1237</v>
      </c>
      <c r="E461">
        <v>7.5800000000000006E-2</v>
      </c>
      <c r="F461">
        <v>0.183</v>
      </c>
      <c r="G461">
        <v>150</v>
      </c>
      <c r="H461">
        <v>170</v>
      </c>
      <c r="I461">
        <v>49</v>
      </c>
      <c r="J461">
        <v>2</v>
      </c>
      <c r="K461">
        <v>38.159999999999997</v>
      </c>
    </row>
    <row r="462" spans="1:11">
      <c r="A462">
        <v>0.43690000000000001</v>
      </c>
      <c r="B462">
        <v>9.6699999999999994E-2</v>
      </c>
      <c r="C462">
        <v>0</v>
      </c>
      <c r="D462">
        <v>8.6099999999999996E-2</v>
      </c>
      <c r="E462">
        <v>9.6000000000000002E-2</v>
      </c>
      <c r="F462">
        <v>0.28439999999999999</v>
      </c>
      <c r="G462">
        <v>70</v>
      </c>
      <c r="H462">
        <v>20</v>
      </c>
      <c r="I462">
        <v>37</v>
      </c>
      <c r="J462">
        <v>2</v>
      </c>
      <c r="K462">
        <v>30.582999999999998</v>
      </c>
    </row>
    <row r="463" spans="1:11">
      <c r="A463">
        <v>0.55530000000000002</v>
      </c>
      <c r="B463">
        <v>5.74E-2</v>
      </c>
      <c r="C463">
        <v>5.4399999999999997E-2</v>
      </c>
      <c r="D463">
        <v>5.2400000000000002E-2</v>
      </c>
      <c r="E463">
        <v>4.7E-2</v>
      </c>
      <c r="F463">
        <v>0.23350000000000001</v>
      </c>
      <c r="G463">
        <v>60</v>
      </c>
      <c r="H463">
        <v>120</v>
      </c>
      <c r="I463">
        <v>24</v>
      </c>
      <c r="J463">
        <v>1</v>
      </c>
      <c r="K463">
        <v>33.317999999999998</v>
      </c>
    </row>
    <row r="464" spans="1:11">
      <c r="A464">
        <v>0.1507</v>
      </c>
      <c r="B464">
        <v>1.0800000000000001E-2</v>
      </c>
      <c r="C464">
        <v>7.4999999999999997E-3</v>
      </c>
      <c r="D464">
        <v>0.12909999999999999</v>
      </c>
      <c r="E464">
        <v>5.0000000000000001E-4</v>
      </c>
      <c r="F464">
        <v>0.70140000000000002</v>
      </c>
      <c r="G464">
        <v>190</v>
      </c>
      <c r="H464">
        <v>130</v>
      </c>
      <c r="I464">
        <v>38</v>
      </c>
      <c r="J464">
        <v>2</v>
      </c>
      <c r="K464">
        <v>28.632999999999999</v>
      </c>
    </row>
    <row r="465" spans="1:11">
      <c r="A465">
        <v>0.49680000000000002</v>
      </c>
      <c r="B465">
        <v>0.20569999999999999</v>
      </c>
      <c r="C465">
        <v>0</v>
      </c>
      <c r="D465">
        <v>0</v>
      </c>
      <c r="E465">
        <v>0.1193</v>
      </c>
      <c r="F465">
        <v>0.1782</v>
      </c>
      <c r="G465">
        <v>60</v>
      </c>
      <c r="H465">
        <v>110</v>
      </c>
      <c r="I465">
        <v>38</v>
      </c>
      <c r="J465">
        <v>1</v>
      </c>
      <c r="K465">
        <v>29.808</v>
      </c>
    </row>
    <row r="466" spans="1:11">
      <c r="A466">
        <v>0.26929999999999998</v>
      </c>
      <c r="B466">
        <v>8.5500000000000007E-2</v>
      </c>
      <c r="C466">
        <v>0.30099999999999999</v>
      </c>
      <c r="D466">
        <v>6.0000000000000001E-3</v>
      </c>
      <c r="E466">
        <v>0.1331</v>
      </c>
      <c r="F466">
        <v>0.20499999999999999</v>
      </c>
      <c r="G466">
        <v>150</v>
      </c>
      <c r="H466">
        <v>170</v>
      </c>
      <c r="I466">
        <v>40</v>
      </c>
      <c r="J466">
        <v>2</v>
      </c>
      <c r="K466">
        <v>40.395000000000003</v>
      </c>
    </row>
    <row r="467" spans="1:11">
      <c r="A467">
        <v>0.33629999999999999</v>
      </c>
      <c r="B467">
        <v>4.4299999999999999E-2</v>
      </c>
      <c r="C467">
        <v>1.1599999999999999E-2</v>
      </c>
      <c r="D467">
        <v>0.35289999999999999</v>
      </c>
      <c r="E467">
        <v>5.0000000000000001E-4</v>
      </c>
      <c r="F467">
        <v>0.25440000000000002</v>
      </c>
      <c r="G467">
        <v>80</v>
      </c>
      <c r="H467">
        <v>100</v>
      </c>
      <c r="I467">
        <v>28</v>
      </c>
      <c r="J467">
        <v>1</v>
      </c>
      <c r="K467">
        <v>26.904</v>
      </c>
    </row>
    <row r="468" spans="1:11">
      <c r="A468">
        <v>0.36859999999999998</v>
      </c>
      <c r="B468">
        <v>0.1166</v>
      </c>
      <c r="C468">
        <v>1.14E-2</v>
      </c>
      <c r="D468">
        <v>9.8900000000000002E-2</v>
      </c>
      <c r="E468">
        <v>0.13220000000000001</v>
      </c>
      <c r="F468">
        <v>0.2722</v>
      </c>
      <c r="G468">
        <v>90</v>
      </c>
      <c r="H468">
        <v>140</v>
      </c>
      <c r="I468">
        <v>34</v>
      </c>
      <c r="J468">
        <v>2</v>
      </c>
      <c r="K468">
        <v>33.173999999999999</v>
      </c>
    </row>
    <row r="469" spans="1:11">
      <c r="A469">
        <v>0.32590000000000002</v>
      </c>
      <c r="B469">
        <v>5.2999999999999999E-2</v>
      </c>
      <c r="C469">
        <v>0.42930000000000001</v>
      </c>
      <c r="D469">
        <v>0</v>
      </c>
      <c r="E469">
        <v>0.10929999999999999</v>
      </c>
      <c r="F469">
        <v>8.2500000000000004E-2</v>
      </c>
      <c r="G469">
        <v>120</v>
      </c>
      <c r="H469">
        <v>120</v>
      </c>
      <c r="I469">
        <v>42</v>
      </c>
      <c r="J469">
        <v>2</v>
      </c>
      <c r="K469">
        <v>39.107999999999997</v>
      </c>
    </row>
    <row r="470" spans="1:11">
      <c r="A470">
        <v>0.26729999999999998</v>
      </c>
      <c r="B470">
        <v>8.3900000000000002E-2</v>
      </c>
      <c r="C470">
        <v>0.38829999999999998</v>
      </c>
      <c r="D470">
        <v>1.21E-2</v>
      </c>
      <c r="E470">
        <v>9.1999999999999998E-2</v>
      </c>
      <c r="F470">
        <v>0.1565</v>
      </c>
      <c r="G470">
        <v>120</v>
      </c>
      <c r="H470">
        <v>140</v>
      </c>
      <c r="I470">
        <v>38</v>
      </c>
      <c r="J470">
        <v>2</v>
      </c>
      <c r="K470">
        <v>32.076000000000001</v>
      </c>
    </row>
    <row r="471" spans="1:11">
      <c r="A471">
        <v>0.56789999999999996</v>
      </c>
      <c r="B471">
        <v>5.3699999999999998E-2</v>
      </c>
      <c r="C471">
        <v>5.5300000000000002E-2</v>
      </c>
      <c r="D471">
        <v>5.7799999999999997E-2</v>
      </c>
      <c r="E471">
        <v>0.1283</v>
      </c>
      <c r="F471">
        <v>0.13689999999999999</v>
      </c>
      <c r="G471">
        <v>70</v>
      </c>
      <c r="H471">
        <v>140</v>
      </c>
      <c r="I471">
        <v>38</v>
      </c>
      <c r="J471">
        <v>2</v>
      </c>
      <c r="K471">
        <v>39.753</v>
      </c>
    </row>
    <row r="472" spans="1:11">
      <c r="A472">
        <v>0.4209</v>
      </c>
      <c r="B472">
        <v>0.16300000000000001</v>
      </c>
      <c r="C472">
        <v>2.1700000000000001E-2</v>
      </c>
      <c r="D472">
        <v>0.18859999999999999</v>
      </c>
      <c r="E472">
        <v>0</v>
      </c>
      <c r="F472">
        <v>0.20580000000000001</v>
      </c>
      <c r="G472">
        <v>70</v>
      </c>
      <c r="H472">
        <v>130</v>
      </c>
      <c r="I472">
        <v>24</v>
      </c>
      <c r="J472">
        <v>2</v>
      </c>
      <c r="K472">
        <v>29.463000000000001</v>
      </c>
    </row>
    <row r="473" spans="1:11">
      <c r="A473">
        <v>0.50270000000000004</v>
      </c>
      <c r="B473">
        <v>6.3899999999999998E-2</v>
      </c>
      <c r="C473">
        <v>5.2699999999999997E-2</v>
      </c>
      <c r="D473">
        <v>0.12429999999999999</v>
      </c>
      <c r="E473">
        <v>0</v>
      </c>
      <c r="F473">
        <v>0.25640000000000002</v>
      </c>
      <c r="G473">
        <v>80</v>
      </c>
      <c r="H473">
        <v>100</v>
      </c>
      <c r="I473">
        <v>24</v>
      </c>
      <c r="J473">
        <v>1</v>
      </c>
      <c r="K473">
        <v>40.216000000000001</v>
      </c>
    </row>
    <row r="474" spans="1:11">
      <c r="A474">
        <v>0.38719999999999999</v>
      </c>
      <c r="B474">
        <v>0.21840000000000001</v>
      </c>
      <c r="C474">
        <v>0.1686</v>
      </c>
      <c r="D474">
        <v>0</v>
      </c>
      <c r="E474">
        <v>0</v>
      </c>
      <c r="F474">
        <v>0.2258</v>
      </c>
      <c r="G474">
        <v>100</v>
      </c>
      <c r="H474">
        <v>220</v>
      </c>
      <c r="I474">
        <v>39</v>
      </c>
      <c r="J474">
        <v>1</v>
      </c>
      <c r="K474">
        <v>38.72</v>
      </c>
    </row>
    <row r="475" spans="1:11">
      <c r="A475">
        <v>0.37680000000000002</v>
      </c>
      <c r="B475">
        <v>7.8200000000000006E-2</v>
      </c>
      <c r="C475">
        <v>2.7199999999999998E-2</v>
      </c>
      <c r="D475">
        <v>2.5700000000000001E-2</v>
      </c>
      <c r="E475">
        <v>0.24310000000000001</v>
      </c>
      <c r="F475">
        <v>0.24909999999999999</v>
      </c>
      <c r="G475">
        <v>80</v>
      </c>
      <c r="H475">
        <v>160</v>
      </c>
      <c r="I475">
        <v>36</v>
      </c>
      <c r="J475">
        <v>2</v>
      </c>
      <c r="K475">
        <v>30.143999999999998</v>
      </c>
    </row>
    <row r="476" spans="1:11">
      <c r="A476">
        <v>0.22040000000000001</v>
      </c>
      <c r="B476">
        <v>2.9399999999999999E-2</v>
      </c>
      <c r="C476">
        <v>0.22</v>
      </c>
      <c r="D476">
        <v>0.16700000000000001</v>
      </c>
      <c r="E476">
        <v>0.1024</v>
      </c>
      <c r="F476">
        <v>0.26090000000000002</v>
      </c>
      <c r="G476">
        <v>160</v>
      </c>
      <c r="H476">
        <v>80</v>
      </c>
      <c r="I476">
        <v>27</v>
      </c>
      <c r="J476">
        <v>1</v>
      </c>
      <c r="K476">
        <v>35.264000000000003</v>
      </c>
    </row>
    <row r="477" spans="1:11">
      <c r="A477">
        <v>0.34339999999999998</v>
      </c>
      <c r="B477">
        <v>0.11360000000000001</v>
      </c>
      <c r="C477">
        <v>0.13880000000000001</v>
      </c>
      <c r="D477">
        <v>0</v>
      </c>
      <c r="E477">
        <v>0.2351</v>
      </c>
      <c r="F477">
        <v>0.1691</v>
      </c>
      <c r="G477">
        <v>90</v>
      </c>
      <c r="H477">
        <v>140</v>
      </c>
      <c r="I477">
        <v>39</v>
      </c>
      <c r="J477">
        <v>2</v>
      </c>
      <c r="K477">
        <v>30.905999999999999</v>
      </c>
    </row>
    <row r="478" spans="1:11">
      <c r="A478">
        <v>0.51739999999999997</v>
      </c>
      <c r="B478">
        <v>0.1031</v>
      </c>
      <c r="C478">
        <v>0.1021</v>
      </c>
      <c r="D478">
        <v>5.7999999999999996E-3</v>
      </c>
      <c r="E478">
        <v>0.1176</v>
      </c>
      <c r="F478">
        <v>0.154</v>
      </c>
      <c r="G478">
        <v>70</v>
      </c>
      <c r="H478">
        <v>130</v>
      </c>
      <c r="I478">
        <v>46</v>
      </c>
      <c r="J478">
        <v>2</v>
      </c>
      <c r="K478">
        <v>36.218000000000004</v>
      </c>
    </row>
    <row r="479" spans="1:11">
      <c r="A479">
        <v>0.2853</v>
      </c>
      <c r="B479">
        <v>5.1200000000000002E-2</v>
      </c>
      <c r="C479">
        <v>0.28239999999999998</v>
      </c>
      <c r="D479">
        <v>7.7399999999999997E-2</v>
      </c>
      <c r="E479">
        <v>8.1799999999999998E-2</v>
      </c>
      <c r="F479">
        <v>0.22189999999999999</v>
      </c>
      <c r="G479">
        <v>230</v>
      </c>
      <c r="H479">
        <v>240</v>
      </c>
      <c r="I479">
        <v>36</v>
      </c>
      <c r="J479">
        <v>2</v>
      </c>
      <c r="K479">
        <v>65.619</v>
      </c>
    </row>
    <row r="480" spans="1:11">
      <c r="A480">
        <v>0.31390000000000001</v>
      </c>
      <c r="B480">
        <v>0.22570000000000001</v>
      </c>
      <c r="C480">
        <v>1.89E-2</v>
      </c>
      <c r="D480">
        <v>0</v>
      </c>
      <c r="E480">
        <v>0.21129999999999999</v>
      </c>
      <c r="F480">
        <v>0.23019999999999999</v>
      </c>
      <c r="G480">
        <v>60</v>
      </c>
      <c r="H480">
        <v>120</v>
      </c>
      <c r="I480">
        <v>35</v>
      </c>
      <c r="J480">
        <v>1</v>
      </c>
      <c r="K480">
        <v>18.834</v>
      </c>
    </row>
    <row r="481" spans="1:11">
      <c r="A481">
        <v>0.29139999999999999</v>
      </c>
      <c r="B481">
        <v>0.11360000000000001</v>
      </c>
      <c r="C481">
        <v>0.15659999999999999</v>
      </c>
      <c r="D481">
        <v>4.5999999999999999E-3</v>
      </c>
      <c r="E481">
        <v>0.26200000000000001</v>
      </c>
      <c r="F481">
        <v>0.17180000000000001</v>
      </c>
      <c r="G481">
        <v>120</v>
      </c>
      <c r="H481">
        <v>190</v>
      </c>
      <c r="I481">
        <v>37</v>
      </c>
      <c r="J481">
        <v>2</v>
      </c>
      <c r="K481">
        <v>34.968000000000004</v>
      </c>
    </row>
    <row r="482" spans="1:11">
      <c r="A482">
        <v>0.51659999999999995</v>
      </c>
      <c r="B482">
        <v>4.19E-2</v>
      </c>
      <c r="C482">
        <v>0.1158</v>
      </c>
      <c r="D482">
        <v>8.8599999999999998E-2</v>
      </c>
      <c r="E482">
        <v>0.1176</v>
      </c>
      <c r="F482">
        <v>0.1195</v>
      </c>
      <c r="G482">
        <v>80</v>
      </c>
      <c r="H482">
        <v>160</v>
      </c>
      <c r="I482">
        <v>30</v>
      </c>
      <c r="J482">
        <v>2</v>
      </c>
      <c r="K482">
        <v>41.328000000000003</v>
      </c>
    </row>
    <row r="483" spans="1:11">
      <c r="A483">
        <v>0.39479999999999998</v>
      </c>
      <c r="B483">
        <v>0.1452</v>
      </c>
      <c r="C483">
        <v>9.4600000000000004E-2</v>
      </c>
      <c r="D483">
        <v>9.5600000000000004E-2</v>
      </c>
      <c r="E483">
        <v>0.16539999999999999</v>
      </c>
      <c r="F483">
        <v>0.1043</v>
      </c>
      <c r="G483">
        <v>80</v>
      </c>
      <c r="H483">
        <v>110</v>
      </c>
      <c r="I483">
        <v>29</v>
      </c>
      <c r="J483">
        <v>2</v>
      </c>
      <c r="K483">
        <v>31.584</v>
      </c>
    </row>
    <row r="484" spans="1:11">
      <c r="A484">
        <v>0.47039999999999998</v>
      </c>
      <c r="B484">
        <v>5.1400000000000001E-2</v>
      </c>
      <c r="C484">
        <v>0.1186</v>
      </c>
      <c r="D484">
        <v>3.9699999999999999E-2</v>
      </c>
      <c r="E484">
        <v>3.1699999999999999E-2</v>
      </c>
      <c r="F484">
        <v>0.28820000000000001</v>
      </c>
      <c r="G484">
        <v>120</v>
      </c>
      <c r="H484">
        <v>260</v>
      </c>
      <c r="I484">
        <v>45</v>
      </c>
      <c r="J484">
        <v>2</v>
      </c>
      <c r="K484">
        <v>56.448</v>
      </c>
    </row>
    <row r="485" spans="1:11">
      <c r="A485">
        <v>0.122</v>
      </c>
      <c r="B485">
        <v>1.7399999999999999E-2</v>
      </c>
      <c r="C485">
        <v>6.0499999999999998E-2</v>
      </c>
      <c r="D485">
        <v>5.1700000000000003E-2</v>
      </c>
      <c r="E485">
        <v>0.60460000000000003</v>
      </c>
      <c r="F485">
        <v>0.14380000000000001</v>
      </c>
      <c r="G485">
        <v>320</v>
      </c>
      <c r="H485">
        <v>180</v>
      </c>
      <c r="I485">
        <v>45</v>
      </c>
      <c r="J485">
        <v>1</v>
      </c>
      <c r="K485">
        <v>39.04</v>
      </c>
    </row>
    <row r="486" spans="1:11">
      <c r="A486">
        <v>0.2495</v>
      </c>
      <c r="B486">
        <v>7.46E-2</v>
      </c>
      <c r="C486">
        <v>1.0200000000000001E-2</v>
      </c>
      <c r="D486">
        <v>0</v>
      </c>
      <c r="E486">
        <v>0.47539999999999999</v>
      </c>
      <c r="F486">
        <v>0.1903</v>
      </c>
      <c r="G486">
        <v>100</v>
      </c>
      <c r="H486">
        <v>110</v>
      </c>
      <c r="I486">
        <v>27</v>
      </c>
      <c r="J486">
        <v>2</v>
      </c>
      <c r="K486">
        <v>24.95</v>
      </c>
    </row>
    <row r="487" spans="1:11">
      <c r="A487">
        <v>0.3548</v>
      </c>
      <c r="B487">
        <v>6.3799999999999996E-2</v>
      </c>
      <c r="C487">
        <v>3.4500000000000003E-2</v>
      </c>
      <c r="D487">
        <v>4.1399999999999999E-2</v>
      </c>
      <c r="E487">
        <v>9.4500000000000001E-2</v>
      </c>
      <c r="F487">
        <v>0.41099999999999998</v>
      </c>
      <c r="G487">
        <v>110</v>
      </c>
      <c r="H487">
        <v>120</v>
      </c>
      <c r="I487">
        <v>39</v>
      </c>
      <c r="J487">
        <v>2</v>
      </c>
      <c r="K487">
        <v>39.027999999999999</v>
      </c>
    </row>
    <row r="488" spans="1:11">
      <c r="A488">
        <v>0.18820000000000001</v>
      </c>
      <c r="B488">
        <v>4.6100000000000002E-2</v>
      </c>
      <c r="C488">
        <v>7.3099999999999998E-2</v>
      </c>
      <c r="D488">
        <v>2.63E-2</v>
      </c>
      <c r="E488">
        <v>4.9200000000000001E-2</v>
      </c>
      <c r="F488">
        <v>0.61719999999999997</v>
      </c>
      <c r="G488">
        <v>190</v>
      </c>
      <c r="H488">
        <v>280</v>
      </c>
      <c r="I488">
        <v>40</v>
      </c>
      <c r="J488">
        <v>1</v>
      </c>
      <c r="K488">
        <v>35.758000000000003</v>
      </c>
    </row>
    <row r="489" spans="1:11">
      <c r="A489">
        <v>0.30209999999999998</v>
      </c>
      <c r="B489">
        <v>6.0499999999999998E-2</v>
      </c>
      <c r="C489">
        <v>0.20019999999999999</v>
      </c>
      <c r="D489">
        <v>0.12239999999999999</v>
      </c>
      <c r="E489">
        <v>9.74E-2</v>
      </c>
      <c r="F489">
        <v>0.21740000000000001</v>
      </c>
      <c r="G489">
        <v>130</v>
      </c>
      <c r="H489">
        <v>200</v>
      </c>
      <c r="I489">
        <v>40</v>
      </c>
      <c r="J489">
        <v>2</v>
      </c>
      <c r="K489">
        <v>39.273000000000003</v>
      </c>
    </row>
    <row r="490" spans="1:11">
      <c r="A490">
        <v>0.46260000000000001</v>
      </c>
      <c r="B490">
        <v>0.14779999999999999</v>
      </c>
      <c r="C490">
        <v>8.5300000000000001E-2</v>
      </c>
      <c r="D490">
        <v>9.1999999999999998E-2</v>
      </c>
      <c r="E490">
        <v>0</v>
      </c>
      <c r="F490">
        <v>0.21229999999999999</v>
      </c>
      <c r="G490">
        <v>60</v>
      </c>
      <c r="H490">
        <v>130</v>
      </c>
      <c r="I490">
        <v>33</v>
      </c>
      <c r="J490">
        <v>2</v>
      </c>
      <c r="K490">
        <v>27.756</v>
      </c>
    </row>
    <row r="491" spans="1:11">
      <c r="A491">
        <v>0.24779999999999999</v>
      </c>
      <c r="B491">
        <v>4.6699999999999998E-2</v>
      </c>
      <c r="C491">
        <v>0.20519999999999999</v>
      </c>
      <c r="D491">
        <v>5.04E-2</v>
      </c>
      <c r="E491">
        <v>0.115</v>
      </c>
      <c r="F491">
        <v>0.33489999999999998</v>
      </c>
      <c r="G491">
        <v>150</v>
      </c>
      <c r="H491">
        <v>170</v>
      </c>
      <c r="I491">
        <v>37</v>
      </c>
      <c r="J491">
        <v>2</v>
      </c>
      <c r="K491">
        <v>37.17</v>
      </c>
    </row>
    <row r="492" spans="1:11">
      <c r="A492">
        <v>0.30599999999999999</v>
      </c>
      <c r="B492">
        <v>9.8900000000000002E-2</v>
      </c>
      <c r="C492">
        <v>0.16420000000000001</v>
      </c>
      <c r="D492">
        <v>1.1900000000000001E-2</v>
      </c>
      <c r="E492">
        <v>0.13020000000000001</v>
      </c>
      <c r="F492">
        <v>0.28889999999999999</v>
      </c>
      <c r="G492">
        <v>90</v>
      </c>
      <c r="H492">
        <v>110</v>
      </c>
      <c r="I492">
        <v>34</v>
      </c>
      <c r="J492">
        <v>2</v>
      </c>
      <c r="K492">
        <v>27.54</v>
      </c>
    </row>
    <row r="493" spans="1:11">
      <c r="A493">
        <v>0.30530000000000002</v>
      </c>
      <c r="B493">
        <v>7.6200000000000004E-2</v>
      </c>
      <c r="C493">
        <v>4.1799999999999997E-2</v>
      </c>
      <c r="D493">
        <v>4.6899999999999997E-2</v>
      </c>
      <c r="E493">
        <v>1.8599999999999998E-2</v>
      </c>
      <c r="F493">
        <v>0.51119999999999999</v>
      </c>
      <c r="G493">
        <v>120</v>
      </c>
      <c r="H493">
        <v>120</v>
      </c>
      <c r="I493">
        <v>39</v>
      </c>
      <c r="J493">
        <v>2</v>
      </c>
      <c r="K493">
        <v>36.636000000000003</v>
      </c>
    </row>
    <row r="494" spans="1:11">
      <c r="A494">
        <v>0.57230000000000003</v>
      </c>
      <c r="B494">
        <v>0.15359999999999999</v>
      </c>
      <c r="C494">
        <v>5.1000000000000004E-3</v>
      </c>
      <c r="D494">
        <v>0</v>
      </c>
      <c r="E494">
        <v>0.1055</v>
      </c>
      <c r="F494">
        <v>0.1636</v>
      </c>
      <c r="G494">
        <v>50</v>
      </c>
      <c r="H494">
        <v>100</v>
      </c>
      <c r="I494">
        <v>30</v>
      </c>
      <c r="J494">
        <v>1</v>
      </c>
      <c r="K494">
        <v>28.614999999999998</v>
      </c>
    </row>
    <row r="495" spans="1:11">
      <c r="A495">
        <v>0.29239999999999999</v>
      </c>
      <c r="B495">
        <v>5.5899999999999998E-2</v>
      </c>
      <c r="C495">
        <v>6.1699999999999998E-2</v>
      </c>
      <c r="D495">
        <v>7.0300000000000001E-2</v>
      </c>
      <c r="E495">
        <v>9.2200000000000004E-2</v>
      </c>
      <c r="F495">
        <v>0.4274</v>
      </c>
      <c r="G495">
        <v>130</v>
      </c>
      <c r="H495">
        <v>150</v>
      </c>
      <c r="I495">
        <v>32</v>
      </c>
      <c r="J495">
        <v>2</v>
      </c>
      <c r="K495">
        <v>38.012</v>
      </c>
    </row>
    <row r="496" spans="1:11">
      <c r="A496">
        <v>0.54110000000000003</v>
      </c>
      <c r="B496">
        <v>0.11600000000000001</v>
      </c>
      <c r="C496">
        <v>5.1999999999999998E-3</v>
      </c>
      <c r="D496">
        <v>0</v>
      </c>
      <c r="E496">
        <v>9.6600000000000005E-2</v>
      </c>
      <c r="F496">
        <v>0.24110000000000001</v>
      </c>
      <c r="G496">
        <v>50</v>
      </c>
      <c r="H496">
        <v>90</v>
      </c>
      <c r="I496">
        <v>37</v>
      </c>
      <c r="J496">
        <v>1</v>
      </c>
      <c r="K496">
        <v>27.055</v>
      </c>
    </row>
    <row r="497" spans="1:11">
      <c r="A497">
        <v>0.50029999999999997</v>
      </c>
      <c r="B497">
        <v>0.13700000000000001</v>
      </c>
      <c r="C497">
        <v>1.17E-2</v>
      </c>
      <c r="D497">
        <v>2.7E-2</v>
      </c>
      <c r="E497">
        <v>0.14219999999999999</v>
      </c>
      <c r="F497">
        <v>0.18179999999999999</v>
      </c>
      <c r="G497">
        <v>60</v>
      </c>
      <c r="H497">
        <v>100</v>
      </c>
      <c r="I497">
        <v>40</v>
      </c>
      <c r="J497">
        <v>2</v>
      </c>
      <c r="K497">
        <v>30.018000000000001</v>
      </c>
    </row>
    <row r="498" spans="1:11">
      <c r="A498">
        <v>0.51190000000000002</v>
      </c>
      <c r="B498">
        <v>0.1265</v>
      </c>
      <c r="C498">
        <v>0.1409</v>
      </c>
      <c r="D498">
        <v>0</v>
      </c>
      <c r="E498">
        <v>3.2800000000000003E-2</v>
      </c>
      <c r="F498">
        <v>0.188</v>
      </c>
      <c r="G498">
        <v>50</v>
      </c>
      <c r="H498">
        <v>40</v>
      </c>
      <c r="I498">
        <v>30</v>
      </c>
      <c r="J498">
        <v>2</v>
      </c>
      <c r="K498">
        <v>25.594999999999999</v>
      </c>
    </row>
    <row r="499" spans="1:11">
      <c r="A499">
        <v>0.38640000000000002</v>
      </c>
      <c r="B499">
        <v>9.9199999999999997E-2</v>
      </c>
      <c r="C499">
        <v>3.5499999999999997E-2</v>
      </c>
      <c r="D499">
        <v>1.3899999999999999E-2</v>
      </c>
      <c r="E499">
        <v>0.30170000000000002</v>
      </c>
      <c r="F499">
        <v>0.16339999999999999</v>
      </c>
      <c r="G499">
        <v>80</v>
      </c>
      <c r="H499">
        <v>180</v>
      </c>
      <c r="I499">
        <v>42</v>
      </c>
      <c r="J499">
        <v>2</v>
      </c>
      <c r="K499">
        <v>30.911999999999999</v>
      </c>
    </row>
    <row r="500" spans="1:11">
      <c r="A500">
        <v>0.29749999999999999</v>
      </c>
      <c r="B500">
        <v>7.0699999999999999E-2</v>
      </c>
      <c r="C500">
        <v>0.2354</v>
      </c>
      <c r="D500">
        <v>8.4500000000000006E-2</v>
      </c>
      <c r="E500">
        <v>6.2199999999999998E-2</v>
      </c>
      <c r="F500">
        <v>0.24979999999999999</v>
      </c>
      <c r="G500">
        <v>100</v>
      </c>
      <c r="H500">
        <v>160</v>
      </c>
      <c r="I500">
        <v>26</v>
      </c>
      <c r="J500">
        <v>1</v>
      </c>
      <c r="K500">
        <v>29.75</v>
      </c>
    </row>
    <row r="501" spans="1:11">
      <c r="A501">
        <v>0.2979</v>
      </c>
      <c r="B501">
        <v>9.1399999999999995E-2</v>
      </c>
      <c r="C501">
        <v>1.2E-2</v>
      </c>
      <c r="D501">
        <v>7.4800000000000005E-2</v>
      </c>
      <c r="E501">
        <v>0.37990000000000002</v>
      </c>
      <c r="F501">
        <v>0.14399999999999999</v>
      </c>
      <c r="G501">
        <v>80</v>
      </c>
      <c r="H501">
        <v>130</v>
      </c>
      <c r="I501">
        <v>37</v>
      </c>
      <c r="J501">
        <v>1</v>
      </c>
      <c r="K501">
        <v>23.832000000000001</v>
      </c>
    </row>
    <row r="502" spans="1:11">
      <c r="A502">
        <v>0.37230000000000002</v>
      </c>
      <c r="B502">
        <v>5.0099999999999999E-2</v>
      </c>
      <c r="C502">
        <v>2.0199999999999999E-2</v>
      </c>
      <c r="D502">
        <v>2.0799999999999999E-2</v>
      </c>
      <c r="E502">
        <v>0.3276</v>
      </c>
      <c r="F502">
        <v>0.2089</v>
      </c>
      <c r="G502">
        <v>70</v>
      </c>
      <c r="H502">
        <v>80</v>
      </c>
      <c r="I502">
        <v>38</v>
      </c>
      <c r="J502">
        <v>2</v>
      </c>
      <c r="K502">
        <v>26.061</v>
      </c>
    </row>
    <row r="503" spans="1:11">
      <c r="A503">
        <v>0.43459999999999999</v>
      </c>
      <c r="B503">
        <v>4.8599999999999997E-2</v>
      </c>
      <c r="C503">
        <v>7.2700000000000001E-2</v>
      </c>
      <c r="D503">
        <v>6.8199999999999997E-2</v>
      </c>
      <c r="E503">
        <v>0.1401</v>
      </c>
      <c r="F503">
        <v>0.23580000000000001</v>
      </c>
      <c r="G503">
        <v>70</v>
      </c>
      <c r="H503">
        <v>90</v>
      </c>
      <c r="I503">
        <v>35</v>
      </c>
      <c r="J503">
        <v>2</v>
      </c>
      <c r="K503">
        <v>30.422000000000001</v>
      </c>
    </row>
    <row r="504" spans="1:11">
      <c r="A504">
        <v>0.4123</v>
      </c>
      <c r="B504">
        <v>0.2445</v>
      </c>
      <c r="C504">
        <v>2.1899999999999999E-2</v>
      </c>
      <c r="D504">
        <v>2.1999999999999999E-2</v>
      </c>
      <c r="E504">
        <v>0.19059999999999999</v>
      </c>
      <c r="F504">
        <v>0.1087</v>
      </c>
      <c r="G504">
        <v>70</v>
      </c>
      <c r="H504">
        <v>120</v>
      </c>
      <c r="I504">
        <v>36</v>
      </c>
      <c r="J504">
        <v>2</v>
      </c>
      <c r="K504">
        <v>28.861000000000001</v>
      </c>
    </row>
    <row r="505" spans="1:11">
      <c r="A505">
        <v>0.50249999999999995</v>
      </c>
      <c r="B505">
        <v>0.17749999999999999</v>
      </c>
      <c r="C505">
        <v>6.8999999999999999E-3</v>
      </c>
      <c r="D505">
        <v>1.7999999999999999E-2</v>
      </c>
      <c r="E505">
        <v>8.0000000000000002E-3</v>
      </c>
      <c r="F505">
        <v>0.28710000000000002</v>
      </c>
      <c r="G505">
        <v>60</v>
      </c>
      <c r="H505">
        <v>90</v>
      </c>
      <c r="I505">
        <v>39</v>
      </c>
      <c r="J505">
        <v>2</v>
      </c>
      <c r="K505">
        <v>30.15</v>
      </c>
    </row>
    <row r="506" spans="1:11">
      <c r="A506">
        <v>0.3488</v>
      </c>
      <c r="B506">
        <v>0.1691</v>
      </c>
      <c r="C506">
        <v>0.12839999999999999</v>
      </c>
      <c r="D506">
        <v>3.1899999999999998E-2</v>
      </c>
      <c r="E506">
        <v>5.1700000000000003E-2</v>
      </c>
      <c r="F506">
        <v>0.27010000000000001</v>
      </c>
      <c r="G506">
        <v>70</v>
      </c>
      <c r="H506">
        <v>90</v>
      </c>
      <c r="I506">
        <v>29</v>
      </c>
      <c r="J506">
        <v>2</v>
      </c>
      <c r="K506">
        <v>24.416</v>
      </c>
    </row>
    <row r="507" spans="1:11">
      <c r="A507">
        <v>0.42299999999999999</v>
      </c>
      <c r="B507">
        <v>0.16950000000000001</v>
      </c>
      <c r="C507">
        <v>4.0000000000000001E-3</v>
      </c>
      <c r="D507">
        <v>7.1499999999999994E-2</v>
      </c>
      <c r="E507">
        <v>5.4899999999999997E-2</v>
      </c>
      <c r="F507">
        <v>0.27710000000000001</v>
      </c>
      <c r="G507">
        <v>90</v>
      </c>
      <c r="H507">
        <v>140</v>
      </c>
      <c r="I507">
        <v>42</v>
      </c>
      <c r="J507">
        <v>2</v>
      </c>
      <c r="K507">
        <v>38.07</v>
      </c>
    </row>
    <row r="508" spans="1:11">
      <c r="A508">
        <v>0.24529999999999999</v>
      </c>
      <c r="B508">
        <v>2.1399999999999999E-2</v>
      </c>
      <c r="C508">
        <v>1.6999999999999999E-3</v>
      </c>
      <c r="D508">
        <v>3.9100000000000003E-2</v>
      </c>
      <c r="E508">
        <v>0.46379999999999999</v>
      </c>
      <c r="F508">
        <v>0.2288</v>
      </c>
      <c r="G508">
        <v>90</v>
      </c>
      <c r="H508">
        <v>120</v>
      </c>
      <c r="I508">
        <v>38</v>
      </c>
      <c r="J508">
        <v>2</v>
      </c>
      <c r="K508">
        <v>22.077000000000002</v>
      </c>
    </row>
    <row r="509" spans="1:11">
      <c r="A509">
        <v>0.27100000000000002</v>
      </c>
      <c r="B509">
        <v>0.1084</v>
      </c>
      <c r="C509">
        <v>0.30180000000000001</v>
      </c>
      <c r="D509">
        <v>2.6499999999999999E-2</v>
      </c>
      <c r="E509">
        <v>0.15340000000000001</v>
      </c>
      <c r="F509">
        <v>0.13880000000000001</v>
      </c>
      <c r="G509">
        <v>150</v>
      </c>
      <c r="H509">
        <v>150</v>
      </c>
      <c r="I509">
        <v>32</v>
      </c>
      <c r="J509">
        <v>2</v>
      </c>
      <c r="K509">
        <v>40.65</v>
      </c>
    </row>
    <row r="510" spans="1:11">
      <c r="A510">
        <v>0.34539999999999998</v>
      </c>
      <c r="B510">
        <v>3.8399999999999997E-2</v>
      </c>
      <c r="C510">
        <v>6.4500000000000002E-2</v>
      </c>
      <c r="D510">
        <v>2.5499999999999998E-2</v>
      </c>
      <c r="E510">
        <v>0.31330000000000002</v>
      </c>
      <c r="F510">
        <v>0.21279999999999999</v>
      </c>
      <c r="G510">
        <v>110</v>
      </c>
      <c r="H510">
        <v>190</v>
      </c>
      <c r="I510">
        <v>39</v>
      </c>
      <c r="J510">
        <v>2</v>
      </c>
      <c r="K510">
        <v>37.994</v>
      </c>
    </row>
    <row r="511" spans="1:11">
      <c r="A511">
        <v>0.42430000000000001</v>
      </c>
      <c r="B511">
        <v>8.6800000000000002E-2</v>
      </c>
      <c r="C511">
        <v>6.8099999999999994E-2</v>
      </c>
      <c r="D511">
        <v>2.9899999999999999E-2</v>
      </c>
      <c r="E511">
        <v>0.10630000000000001</v>
      </c>
      <c r="F511">
        <v>0.28470000000000001</v>
      </c>
      <c r="G511">
        <v>90</v>
      </c>
      <c r="H511">
        <v>90</v>
      </c>
      <c r="I511">
        <v>25</v>
      </c>
      <c r="J511">
        <v>2</v>
      </c>
      <c r="K511">
        <v>38.186999999999998</v>
      </c>
    </row>
    <row r="512" spans="1:11">
      <c r="A512">
        <v>0.3669</v>
      </c>
      <c r="B512">
        <v>0.1116</v>
      </c>
      <c r="C512">
        <v>0.1285</v>
      </c>
      <c r="D512">
        <v>0</v>
      </c>
      <c r="E512">
        <v>0.15590000000000001</v>
      </c>
      <c r="F512">
        <v>0.23719999999999999</v>
      </c>
      <c r="G512">
        <v>110</v>
      </c>
      <c r="H512">
        <v>140</v>
      </c>
      <c r="I512">
        <v>57</v>
      </c>
      <c r="J512">
        <v>2</v>
      </c>
      <c r="K512">
        <v>40.359000000000002</v>
      </c>
    </row>
    <row r="513" spans="1:11">
      <c r="A513">
        <v>0.42299999999999999</v>
      </c>
      <c r="B513">
        <v>2.98E-2</v>
      </c>
      <c r="C513">
        <v>8.8599999999999998E-2</v>
      </c>
      <c r="D513">
        <v>3.8800000000000001E-2</v>
      </c>
      <c r="E513">
        <v>0.25650000000000001</v>
      </c>
      <c r="F513">
        <v>0.1633</v>
      </c>
      <c r="G513">
        <v>160</v>
      </c>
      <c r="H513">
        <v>120</v>
      </c>
      <c r="I513">
        <v>46</v>
      </c>
      <c r="J513">
        <v>2</v>
      </c>
      <c r="K513">
        <v>67.680000000000007</v>
      </c>
    </row>
    <row r="514" spans="1:11">
      <c r="A514">
        <v>0.26929999999999998</v>
      </c>
      <c r="B514">
        <v>7.9500000000000001E-2</v>
      </c>
      <c r="C514">
        <v>0.22140000000000001</v>
      </c>
      <c r="D514">
        <v>5.1700000000000003E-2</v>
      </c>
      <c r="E514">
        <v>2.3900000000000001E-2</v>
      </c>
      <c r="F514">
        <v>0.35420000000000001</v>
      </c>
      <c r="G514">
        <v>110</v>
      </c>
      <c r="H514">
        <v>120</v>
      </c>
      <c r="I514">
        <v>21</v>
      </c>
      <c r="J514">
        <v>1</v>
      </c>
      <c r="K514">
        <v>29.623000000000001</v>
      </c>
    </row>
    <row r="515" spans="1:11">
      <c r="A515">
        <v>0.499</v>
      </c>
      <c r="B515">
        <v>0.14829999999999999</v>
      </c>
      <c r="C515">
        <v>3.3799999999999997E-2</v>
      </c>
      <c r="D515">
        <v>2.9000000000000001E-2</v>
      </c>
      <c r="E515">
        <v>0.11600000000000001</v>
      </c>
      <c r="F515">
        <v>0.1739</v>
      </c>
      <c r="G515">
        <v>70</v>
      </c>
      <c r="H515">
        <v>100</v>
      </c>
      <c r="I515">
        <v>39</v>
      </c>
      <c r="J515">
        <v>2</v>
      </c>
      <c r="K515">
        <v>34.93</v>
      </c>
    </row>
    <row r="516" spans="1:11">
      <c r="A516">
        <v>0.3841</v>
      </c>
      <c r="B516">
        <v>0.15079999999999999</v>
      </c>
      <c r="C516">
        <v>0.16489999999999999</v>
      </c>
      <c r="D516">
        <v>3.5999999999999997E-2</v>
      </c>
      <c r="E516">
        <v>0.1091</v>
      </c>
      <c r="F516">
        <v>0.1552</v>
      </c>
      <c r="G516">
        <v>80</v>
      </c>
      <c r="H516">
        <v>130</v>
      </c>
      <c r="I516">
        <v>35</v>
      </c>
      <c r="J516">
        <v>1</v>
      </c>
      <c r="K516">
        <v>30.728000000000002</v>
      </c>
    </row>
    <row r="517" spans="1:11">
      <c r="A517">
        <v>0.41710000000000003</v>
      </c>
      <c r="B517">
        <v>0.14169999999999999</v>
      </c>
      <c r="C517">
        <v>0.1013</v>
      </c>
      <c r="D517">
        <v>1.55E-2</v>
      </c>
      <c r="E517">
        <v>3.49E-2</v>
      </c>
      <c r="F517">
        <v>0.28939999999999999</v>
      </c>
      <c r="G517">
        <v>60</v>
      </c>
      <c r="H517">
        <v>70</v>
      </c>
      <c r="I517">
        <v>26</v>
      </c>
      <c r="J517">
        <v>1</v>
      </c>
      <c r="K517">
        <v>25.026</v>
      </c>
    </row>
    <row r="518" spans="1:11">
      <c r="A518">
        <v>0.24879999999999999</v>
      </c>
      <c r="B518">
        <v>5.4100000000000002E-2</v>
      </c>
      <c r="C518">
        <v>4.9399999999999999E-2</v>
      </c>
      <c r="D518">
        <v>3.8899999999999997E-2</v>
      </c>
      <c r="E518">
        <v>0.21099999999999999</v>
      </c>
      <c r="F518">
        <v>0.39779999999999999</v>
      </c>
      <c r="G518">
        <v>100</v>
      </c>
      <c r="H518">
        <v>110</v>
      </c>
      <c r="I518">
        <v>26</v>
      </c>
      <c r="J518">
        <v>1</v>
      </c>
      <c r="K518">
        <v>24.88</v>
      </c>
    </row>
    <row r="519" spans="1:11">
      <c r="A519">
        <v>0.24030000000000001</v>
      </c>
      <c r="B519">
        <v>9.5000000000000001E-2</v>
      </c>
      <c r="C519">
        <v>0.20730000000000001</v>
      </c>
      <c r="D519">
        <v>1.66E-2</v>
      </c>
      <c r="E519">
        <v>0.1055</v>
      </c>
      <c r="F519">
        <v>0.33539999999999998</v>
      </c>
      <c r="G519">
        <v>80</v>
      </c>
      <c r="H519">
        <v>120</v>
      </c>
      <c r="I519">
        <v>43</v>
      </c>
      <c r="J519">
        <v>1</v>
      </c>
      <c r="K519">
        <v>19.224</v>
      </c>
    </row>
    <row r="520" spans="1:11">
      <c r="A520">
        <v>0.27510000000000001</v>
      </c>
      <c r="B520">
        <v>1.78E-2</v>
      </c>
      <c r="C520">
        <v>9.9299999999999999E-2</v>
      </c>
      <c r="D520">
        <v>0.2011</v>
      </c>
      <c r="E520">
        <v>0.10340000000000001</v>
      </c>
      <c r="F520">
        <v>0.30330000000000001</v>
      </c>
      <c r="G520">
        <v>100</v>
      </c>
      <c r="H520">
        <v>90</v>
      </c>
      <c r="I520">
        <v>33</v>
      </c>
      <c r="J520">
        <v>1</v>
      </c>
      <c r="K520">
        <v>27.51</v>
      </c>
    </row>
    <row r="521" spans="1:11">
      <c r="A521">
        <v>0.27789999999999998</v>
      </c>
      <c r="B521">
        <v>6.6000000000000003E-2</v>
      </c>
      <c r="C521">
        <v>0.41689999999999999</v>
      </c>
      <c r="D521">
        <v>1.24E-2</v>
      </c>
      <c r="E521">
        <v>9.7900000000000001E-2</v>
      </c>
      <c r="F521">
        <v>0.12889999999999999</v>
      </c>
      <c r="G521">
        <v>100</v>
      </c>
      <c r="H521">
        <v>140</v>
      </c>
      <c r="I521">
        <v>38</v>
      </c>
      <c r="J521">
        <v>2</v>
      </c>
      <c r="K521">
        <v>27.79</v>
      </c>
    </row>
    <row r="522" spans="1:11">
      <c r="A522">
        <v>0.19819999999999999</v>
      </c>
      <c r="B522">
        <v>6.3500000000000001E-2</v>
      </c>
      <c r="C522">
        <v>0.434</v>
      </c>
      <c r="D522">
        <v>5.11E-2</v>
      </c>
      <c r="E522">
        <v>9.4999999999999998E-3</v>
      </c>
      <c r="F522">
        <v>0.24379999999999999</v>
      </c>
      <c r="G522">
        <v>110</v>
      </c>
      <c r="H522">
        <v>150</v>
      </c>
      <c r="I522">
        <v>27</v>
      </c>
      <c r="J522">
        <v>1</v>
      </c>
      <c r="K522">
        <v>21.802</v>
      </c>
    </row>
    <row r="523" spans="1:11">
      <c r="A523">
        <v>0.44090000000000001</v>
      </c>
      <c r="B523">
        <v>0.27810000000000001</v>
      </c>
      <c r="C523">
        <v>0</v>
      </c>
      <c r="D523">
        <v>8.0399999999999999E-2</v>
      </c>
      <c r="E523">
        <v>0.1149</v>
      </c>
      <c r="F523">
        <v>8.5699999999999998E-2</v>
      </c>
      <c r="G523">
        <v>80</v>
      </c>
      <c r="H523">
        <v>60</v>
      </c>
      <c r="I523">
        <v>40</v>
      </c>
      <c r="J523">
        <v>2</v>
      </c>
      <c r="K523">
        <v>35.271999999999998</v>
      </c>
    </row>
    <row r="524" spans="1:11">
      <c r="A524">
        <v>0.30919999999999997</v>
      </c>
      <c r="B524">
        <v>8.6900000000000005E-2</v>
      </c>
      <c r="C524">
        <v>0.11940000000000001</v>
      </c>
      <c r="D524">
        <v>8.7499999999999994E-2</v>
      </c>
      <c r="E524">
        <v>0.1515</v>
      </c>
      <c r="F524">
        <v>0.2455</v>
      </c>
      <c r="G524">
        <v>100</v>
      </c>
      <c r="H524">
        <v>140</v>
      </c>
      <c r="I524">
        <v>40</v>
      </c>
      <c r="J524">
        <v>2</v>
      </c>
      <c r="K524">
        <v>30.92</v>
      </c>
    </row>
    <row r="525" spans="1:11">
      <c r="A525">
        <v>0.38490000000000002</v>
      </c>
      <c r="B525">
        <v>0.15959999999999999</v>
      </c>
      <c r="C525">
        <v>0.1113</v>
      </c>
      <c r="D525">
        <v>0.10059999999999999</v>
      </c>
      <c r="E525">
        <v>6.2E-2</v>
      </c>
      <c r="F525">
        <v>0.18160000000000001</v>
      </c>
      <c r="G525">
        <v>90</v>
      </c>
      <c r="H525">
        <v>120</v>
      </c>
      <c r="I525">
        <v>27</v>
      </c>
      <c r="J525">
        <v>2</v>
      </c>
      <c r="K525">
        <v>34.640999999999998</v>
      </c>
    </row>
    <row r="526" spans="1:11">
      <c r="A526">
        <v>0.40889999999999999</v>
      </c>
      <c r="B526">
        <v>0.20780000000000001</v>
      </c>
      <c r="C526">
        <v>0.1014</v>
      </c>
      <c r="D526">
        <v>2.8999999999999998E-3</v>
      </c>
      <c r="E526">
        <v>0.1051</v>
      </c>
      <c r="F526">
        <v>0.1739</v>
      </c>
      <c r="G526">
        <v>80</v>
      </c>
      <c r="H526">
        <v>110</v>
      </c>
      <c r="I526">
        <v>41</v>
      </c>
      <c r="J526">
        <v>2</v>
      </c>
      <c r="K526">
        <v>32.712000000000003</v>
      </c>
    </row>
    <row r="527" spans="1:11">
      <c r="A527">
        <v>0.51300000000000001</v>
      </c>
      <c r="B527">
        <v>0.1381</v>
      </c>
      <c r="C527">
        <v>5.8299999999999998E-2</v>
      </c>
      <c r="D527">
        <v>0</v>
      </c>
      <c r="E527">
        <v>2.29E-2</v>
      </c>
      <c r="F527">
        <v>0.26769999999999999</v>
      </c>
      <c r="G527">
        <v>60</v>
      </c>
      <c r="H527">
        <v>100</v>
      </c>
      <c r="I527">
        <v>28</v>
      </c>
      <c r="J527">
        <v>2</v>
      </c>
      <c r="K527">
        <v>30.78</v>
      </c>
    </row>
    <row r="528" spans="1:11">
      <c r="A528">
        <v>0.44940000000000002</v>
      </c>
      <c r="B528">
        <v>0.1082</v>
      </c>
      <c r="C528">
        <v>0.1235</v>
      </c>
      <c r="D528">
        <v>2.8299999999999999E-2</v>
      </c>
      <c r="E528">
        <v>0.15110000000000001</v>
      </c>
      <c r="F528">
        <v>0.13950000000000001</v>
      </c>
      <c r="G528">
        <v>80</v>
      </c>
      <c r="H528">
        <v>120</v>
      </c>
      <c r="I528">
        <v>52</v>
      </c>
      <c r="J528">
        <v>1</v>
      </c>
      <c r="K528">
        <v>35.951999999999998</v>
      </c>
    </row>
    <row r="529" spans="1:11">
      <c r="A529">
        <v>0.37809999999999999</v>
      </c>
      <c r="B529">
        <v>2.1899999999999999E-2</v>
      </c>
      <c r="C529">
        <v>0.34139999999999998</v>
      </c>
      <c r="D529">
        <v>0</v>
      </c>
      <c r="E529">
        <v>0.1399</v>
      </c>
      <c r="F529">
        <v>0.1188</v>
      </c>
      <c r="G529">
        <v>120</v>
      </c>
      <c r="H529">
        <v>70</v>
      </c>
      <c r="I529">
        <v>37</v>
      </c>
      <c r="J529">
        <v>2</v>
      </c>
      <c r="K529">
        <v>45.372</v>
      </c>
    </row>
    <row r="530" spans="1:11">
      <c r="A530">
        <v>0.38140000000000002</v>
      </c>
      <c r="B530">
        <v>0.1186</v>
      </c>
      <c r="C530">
        <v>5.1999999999999998E-3</v>
      </c>
      <c r="D530">
        <v>5.4600000000000003E-2</v>
      </c>
      <c r="E530">
        <v>7.9500000000000001E-2</v>
      </c>
      <c r="F530">
        <v>0.36059999999999998</v>
      </c>
      <c r="G530">
        <v>110</v>
      </c>
      <c r="H530">
        <v>140</v>
      </c>
      <c r="I530">
        <v>35</v>
      </c>
      <c r="J530">
        <v>2</v>
      </c>
      <c r="K530">
        <v>41.954000000000001</v>
      </c>
    </row>
    <row r="531" spans="1:11">
      <c r="A531">
        <v>0.26279999999999998</v>
      </c>
      <c r="B531">
        <v>0.1072</v>
      </c>
      <c r="C531">
        <v>0.13320000000000001</v>
      </c>
      <c r="D531">
        <v>0</v>
      </c>
      <c r="E531">
        <v>0.30170000000000002</v>
      </c>
      <c r="F531">
        <v>0.19520000000000001</v>
      </c>
      <c r="G531">
        <v>70</v>
      </c>
      <c r="H531">
        <v>120</v>
      </c>
      <c r="I531">
        <v>35</v>
      </c>
      <c r="J531">
        <v>2</v>
      </c>
      <c r="K531">
        <v>18.396000000000001</v>
      </c>
    </row>
    <row r="532" spans="1:11">
      <c r="A532">
        <v>0.37940000000000002</v>
      </c>
      <c r="B532">
        <v>0.14299999999999999</v>
      </c>
      <c r="C532">
        <v>9.1999999999999998E-3</v>
      </c>
      <c r="D532">
        <v>5.04E-2</v>
      </c>
      <c r="E532">
        <v>0.1368</v>
      </c>
      <c r="F532">
        <v>0.28110000000000002</v>
      </c>
      <c r="G532">
        <v>60</v>
      </c>
      <c r="H532">
        <v>100</v>
      </c>
      <c r="I532">
        <v>25</v>
      </c>
      <c r="J532">
        <v>2</v>
      </c>
      <c r="K532">
        <v>22.763999999999999</v>
      </c>
    </row>
    <row r="533" spans="1:11">
      <c r="A533">
        <v>0.27860000000000001</v>
      </c>
      <c r="B533">
        <v>8.5999999999999993E-2</v>
      </c>
      <c r="C533">
        <v>1.44E-2</v>
      </c>
      <c r="D533">
        <v>0.17299999999999999</v>
      </c>
      <c r="E533">
        <v>0.3624</v>
      </c>
      <c r="F533">
        <v>8.5599999999999996E-2</v>
      </c>
      <c r="G533">
        <v>90</v>
      </c>
      <c r="H533">
        <v>120</v>
      </c>
      <c r="I533">
        <v>37</v>
      </c>
      <c r="J533">
        <v>2</v>
      </c>
      <c r="K533">
        <v>25.074000000000002</v>
      </c>
    </row>
    <row r="534" spans="1:11">
      <c r="A534">
        <v>0.4128</v>
      </c>
      <c r="B534">
        <v>9.9299999999999999E-2</v>
      </c>
      <c r="C534">
        <v>0.1371</v>
      </c>
      <c r="D534">
        <v>8.1500000000000003E-2</v>
      </c>
      <c r="E534">
        <v>0.1396</v>
      </c>
      <c r="F534">
        <v>0.1298</v>
      </c>
      <c r="G534">
        <v>110</v>
      </c>
      <c r="H534">
        <v>190</v>
      </c>
      <c r="I534">
        <v>46</v>
      </c>
      <c r="J534">
        <v>2</v>
      </c>
      <c r="K534">
        <v>45.408000000000001</v>
      </c>
    </row>
    <row r="535" spans="1:11">
      <c r="A535">
        <v>0.49469999999999997</v>
      </c>
      <c r="B535">
        <v>8.4199999999999997E-2</v>
      </c>
      <c r="C535">
        <v>1.5699999999999999E-2</v>
      </c>
      <c r="D535">
        <v>0</v>
      </c>
      <c r="E535">
        <v>0.16109999999999999</v>
      </c>
      <c r="F535">
        <v>0.24440000000000001</v>
      </c>
      <c r="G535">
        <v>90</v>
      </c>
      <c r="H535">
        <v>140</v>
      </c>
      <c r="I535">
        <v>36</v>
      </c>
      <c r="J535">
        <v>2</v>
      </c>
      <c r="K535">
        <v>44.523000000000003</v>
      </c>
    </row>
    <row r="536" spans="1:11">
      <c r="A536">
        <v>0.39879999999999999</v>
      </c>
      <c r="B536">
        <v>0.1484</v>
      </c>
      <c r="C536">
        <v>6.3100000000000003E-2</v>
      </c>
      <c r="D536">
        <v>5.4600000000000003E-2</v>
      </c>
      <c r="E536">
        <v>1.4200000000000001E-2</v>
      </c>
      <c r="F536">
        <v>0.32090000000000002</v>
      </c>
      <c r="G536">
        <v>50</v>
      </c>
      <c r="H536">
        <v>100</v>
      </c>
      <c r="I536">
        <v>28</v>
      </c>
      <c r="J536">
        <v>1</v>
      </c>
      <c r="K536">
        <v>19.940000000000001</v>
      </c>
    </row>
    <row r="537" spans="1:11">
      <c r="A537">
        <v>0.39040000000000002</v>
      </c>
      <c r="B537">
        <v>5.7099999999999998E-2</v>
      </c>
      <c r="C537">
        <v>0.1298</v>
      </c>
      <c r="D537">
        <v>7.4399999999999994E-2</v>
      </c>
      <c r="E537">
        <v>0.13300000000000001</v>
      </c>
      <c r="F537">
        <v>0.21529999999999999</v>
      </c>
      <c r="G537">
        <v>150</v>
      </c>
      <c r="H537">
        <v>150</v>
      </c>
      <c r="I537">
        <v>47</v>
      </c>
      <c r="J537">
        <v>2</v>
      </c>
      <c r="K537">
        <v>58.56</v>
      </c>
    </row>
    <row r="538" spans="1:11">
      <c r="A538">
        <v>0.24310000000000001</v>
      </c>
      <c r="B538">
        <v>0.11509999999999999</v>
      </c>
      <c r="C538">
        <v>4.82E-2</v>
      </c>
      <c r="D538">
        <v>0.26490000000000002</v>
      </c>
      <c r="E538">
        <v>0.1128</v>
      </c>
      <c r="F538">
        <v>0.21590000000000001</v>
      </c>
      <c r="G538">
        <v>90</v>
      </c>
      <c r="H538">
        <v>110</v>
      </c>
      <c r="I538">
        <v>21</v>
      </c>
      <c r="J538">
        <v>1</v>
      </c>
      <c r="K538">
        <v>21.879000000000001</v>
      </c>
    </row>
    <row r="539" spans="1:11">
      <c r="A539">
        <v>0.3599</v>
      </c>
      <c r="B539">
        <v>0.13220000000000001</v>
      </c>
      <c r="C539">
        <v>0.16719999999999999</v>
      </c>
      <c r="D539">
        <v>1.01E-2</v>
      </c>
      <c r="E539">
        <v>0.13639999999999999</v>
      </c>
      <c r="F539">
        <v>0.19420000000000001</v>
      </c>
      <c r="G539">
        <v>100</v>
      </c>
      <c r="H539">
        <v>130</v>
      </c>
      <c r="I539">
        <v>29</v>
      </c>
      <c r="J539">
        <v>2</v>
      </c>
      <c r="K539">
        <v>35.99</v>
      </c>
    </row>
    <row r="540" spans="1:11">
      <c r="A540">
        <v>0.2366</v>
      </c>
      <c r="B540">
        <v>9.1700000000000004E-2</v>
      </c>
      <c r="C540">
        <v>0.2472</v>
      </c>
      <c r="D540">
        <v>0</v>
      </c>
      <c r="E540">
        <v>0.29680000000000001</v>
      </c>
      <c r="F540">
        <v>0.12770000000000001</v>
      </c>
      <c r="G540">
        <v>100</v>
      </c>
      <c r="H540">
        <v>30</v>
      </c>
      <c r="I540">
        <v>27</v>
      </c>
      <c r="J540">
        <v>2</v>
      </c>
      <c r="K540">
        <v>23.66</v>
      </c>
    </row>
    <row r="541" spans="1:11">
      <c r="A541">
        <v>0.55800000000000005</v>
      </c>
      <c r="B541">
        <v>0.17</v>
      </c>
      <c r="C541">
        <v>0</v>
      </c>
      <c r="D541">
        <v>1.2999999999999999E-2</v>
      </c>
      <c r="E541">
        <v>1.9400000000000001E-2</v>
      </c>
      <c r="F541">
        <v>0.23960000000000001</v>
      </c>
      <c r="G541">
        <v>50</v>
      </c>
      <c r="H541">
        <v>80</v>
      </c>
      <c r="I541">
        <v>39</v>
      </c>
      <c r="J541">
        <v>2</v>
      </c>
      <c r="K541">
        <v>27.9</v>
      </c>
    </row>
    <row r="542" spans="1:11">
      <c r="A542">
        <v>0.44790000000000002</v>
      </c>
      <c r="B542">
        <v>8.8099999999999998E-2</v>
      </c>
      <c r="C542">
        <v>8.5699999999999998E-2</v>
      </c>
      <c r="D542">
        <v>0.14050000000000001</v>
      </c>
      <c r="E542">
        <v>0.15690000000000001</v>
      </c>
      <c r="F542">
        <v>8.09E-2</v>
      </c>
      <c r="G542">
        <v>80</v>
      </c>
      <c r="H542">
        <v>120</v>
      </c>
      <c r="I542">
        <v>27</v>
      </c>
      <c r="J542">
        <v>1</v>
      </c>
      <c r="K542">
        <v>35.832000000000001</v>
      </c>
    </row>
    <row r="543" spans="1:11">
      <c r="A543">
        <v>0.18590000000000001</v>
      </c>
      <c r="B543">
        <v>8.72E-2</v>
      </c>
      <c r="C543">
        <v>0.17460000000000001</v>
      </c>
      <c r="D543">
        <v>2.2200000000000001E-2</v>
      </c>
      <c r="E543">
        <v>0.25130000000000002</v>
      </c>
      <c r="F543">
        <v>0.27879999999999999</v>
      </c>
      <c r="G543">
        <v>140</v>
      </c>
      <c r="H543">
        <v>150</v>
      </c>
      <c r="I543">
        <v>32</v>
      </c>
      <c r="J543">
        <v>2</v>
      </c>
      <c r="K543">
        <v>26.026</v>
      </c>
    </row>
    <row r="544" spans="1:11">
      <c r="A544">
        <v>0.4491</v>
      </c>
      <c r="B544">
        <v>8.7599999999999997E-2</v>
      </c>
      <c r="C544">
        <v>8.8099999999999998E-2</v>
      </c>
      <c r="D544">
        <v>1.9199999999999998E-2</v>
      </c>
      <c r="E544">
        <v>0.16289999999999999</v>
      </c>
      <c r="F544">
        <v>0.19309999999999999</v>
      </c>
      <c r="G544">
        <v>90</v>
      </c>
      <c r="H544">
        <v>70</v>
      </c>
      <c r="I544">
        <v>31</v>
      </c>
      <c r="J544">
        <v>2</v>
      </c>
      <c r="K544">
        <v>40.418999999999997</v>
      </c>
    </row>
    <row r="545" spans="1:11">
      <c r="A545">
        <v>0.2286</v>
      </c>
      <c r="B545">
        <v>7.0499999999999993E-2</v>
      </c>
      <c r="C545">
        <v>3.1399999999999997E-2</v>
      </c>
      <c r="D545">
        <v>0.21010000000000001</v>
      </c>
      <c r="E545">
        <v>0.13619999999999999</v>
      </c>
      <c r="F545">
        <v>0.32319999999999999</v>
      </c>
      <c r="G545">
        <v>110</v>
      </c>
      <c r="H545">
        <v>130</v>
      </c>
      <c r="I545">
        <v>30</v>
      </c>
      <c r="J545">
        <v>2</v>
      </c>
      <c r="K545">
        <v>25.146000000000001</v>
      </c>
    </row>
    <row r="546" spans="1:11">
      <c r="A546">
        <v>0.3614</v>
      </c>
      <c r="B546">
        <v>0.1205</v>
      </c>
      <c r="C546">
        <v>4.7199999999999999E-2</v>
      </c>
      <c r="D546">
        <v>8.6300000000000002E-2</v>
      </c>
      <c r="E546">
        <v>3.3399999999999999E-2</v>
      </c>
      <c r="F546">
        <v>0.3513</v>
      </c>
      <c r="G546">
        <v>80</v>
      </c>
      <c r="H546">
        <v>110</v>
      </c>
      <c r="I546">
        <v>25</v>
      </c>
      <c r="J546">
        <v>2</v>
      </c>
      <c r="K546">
        <v>28.911999999999999</v>
      </c>
    </row>
    <row r="547" spans="1:11">
      <c r="A547">
        <v>0.25540000000000002</v>
      </c>
      <c r="B547">
        <v>0.1206</v>
      </c>
      <c r="C547">
        <v>5.9299999999999999E-2</v>
      </c>
      <c r="D547">
        <v>0.18079999999999999</v>
      </c>
      <c r="E547">
        <v>0.1217</v>
      </c>
      <c r="F547">
        <v>0.2621</v>
      </c>
      <c r="G547">
        <v>120</v>
      </c>
      <c r="H547">
        <v>90</v>
      </c>
      <c r="I547">
        <v>22</v>
      </c>
      <c r="J547">
        <v>1</v>
      </c>
      <c r="K547">
        <v>30.648</v>
      </c>
    </row>
    <row r="548" spans="1:11">
      <c r="A548">
        <v>0.28720000000000001</v>
      </c>
      <c r="B548">
        <v>7.2700000000000001E-2</v>
      </c>
      <c r="C548">
        <v>0.1313</v>
      </c>
      <c r="D548">
        <v>6.2899999999999998E-2</v>
      </c>
      <c r="E548">
        <v>0.20380000000000001</v>
      </c>
      <c r="F548">
        <v>0.24210000000000001</v>
      </c>
      <c r="G548">
        <v>160</v>
      </c>
      <c r="H548">
        <v>210</v>
      </c>
      <c r="I548">
        <v>33</v>
      </c>
      <c r="J548">
        <v>2</v>
      </c>
      <c r="K548">
        <v>45.951999999999998</v>
      </c>
    </row>
    <row r="549" spans="1:11">
      <c r="A549">
        <v>0.60980000000000001</v>
      </c>
      <c r="B549">
        <v>8.7499999999999994E-2</v>
      </c>
      <c r="C549">
        <v>4.1999999999999997E-3</v>
      </c>
      <c r="D549">
        <v>5.0299999999999997E-2</v>
      </c>
      <c r="E549">
        <v>2.7099999999999999E-2</v>
      </c>
      <c r="F549">
        <v>0.22109999999999999</v>
      </c>
      <c r="G549">
        <v>50</v>
      </c>
      <c r="H549">
        <v>120</v>
      </c>
      <c r="I549">
        <v>32</v>
      </c>
      <c r="J549">
        <v>1</v>
      </c>
      <c r="K549">
        <v>30.49</v>
      </c>
    </row>
    <row r="550" spans="1:11">
      <c r="A550">
        <v>0.38700000000000001</v>
      </c>
      <c r="B550">
        <v>0.12670000000000001</v>
      </c>
      <c r="C550">
        <v>0</v>
      </c>
      <c r="D550">
        <v>0</v>
      </c>
      <c r="E550">
        <v>0.22159999999999999</v>
      </c>
      <c r="F550">
        <v>0.26469999999999999</v>
      </c>
      <c r="G550">
        <v>70</v>
      </c>
      <c r="H550">
        <v>80</v>
      </c>
      <c r="I550">
        <v>33</v>
      </c>
      <c r="J550">
        <v>2</v>
      </c>
      <c r="K550">
        <v>27.09</v>
      </c>
    </row>
    <row r="551" spans="1:11">
      <c r="A551">
        <v>0.43059999999999998</v>
      </c>
      <c r="B551">
        <v>0.1008</v>
      </c>
      <c r="C551">
        <v>0.22770000000000001</v>
      </c>
      <c r="D551">
        <v>0</v>
      </c>
      <c r="E551">
        <v>0.15279999999999999</v>
      </c>
      <c r="F551">
        <v>8.8099999999999998E-2</v>
      </c>
      <c r="G551">
        <v>50</v>
      </c>
      <c r="H551">
        <v>110</v>
      </c>
      <c r="I551">
        <v>34</v>
      </c>
      <c r="J551">
        <v>1</v>
      </c>
      <c r="K551">
        <v>21.53</v>
      </c>
    </row>
    <row r="552" spans="1:11">
      <c r="A552">
        <v>0.78900000000000003</v>
      </c>
      <c r="B552">
        <v>6.4399999999999999E-2</v>
      </c>
      <c r="C552">
        <v>2.0999999999999999E-3</v>
      </c>
      <c r="D552">
        <v>4.6899999999999997E-2</v>
      </c>
      <c r="E552">
        <v>4.8099999999999997E-2</v>
      </c>
      <c r="F552">
        <v>4.9500000000000002E-2</v>
      </c>
      <c r="G552">
        <v>40</v>
      </c>
      <c r="H552">
        <v>110</v>
      </c>
      <c r="I552">
        <v>34</v>
      </c>
      <c r="J552">
        <v>1</v>
      </c>
      <c r="K552">
        <v>31.56</v>
      </c>
    </row>
    <row r="553" spans="1:11">
      <c r="A553">
        <v>0.3861</v>
      </c>
      <c r="B553">
        <v>0.28149999999999997</v>
      </c>
      <c r="C553">
        <v>2.3E-3</v>
      </c>
      <c r="D553">
        <v>2.86E-2</v>
      </c>
      <c r="E553">
        <v>0.14460000000000001</v>
      </c>
      <c r="F553">
        <v>0.15679999999999999</v>
      </c>
      <c r="G553">
        <v>70</v>
      </c>
      <c r="H553">
        <v>80</v>
      </c>
      <c r="I553">
        <v>28</v>
      </c>
      <c r="J553">
        <v>2</v>
      </c>
      <c r="K553">
        <v>27.027000000000001</v>
      </c>
    </row>
    <row r="554" spans="1:11">
      <c r="A554">
        <v>0.31780000000000003</v>
      </c>
      <c r="B554">
        <v>8.7499999999999994E-2</v>
      </c>
      <c r="C554">
        <v>6.9599999999999995E-2</v>
      </c>
      <c r="D554">
        <v>1.32E-2</v>
      </c>
      <c r="E554">
        <v>6.1499999999999999E-2</v>
      </c>
      <c r="F554">
        <v>0.45040000000000002</v>
      </c>
      <c r="G554">
        <v>100</v>
      </c>
      <c r="H554">
        <v>110</v>
      </c>
      <c r="I554">
        <v>31</v>
      </c>
      <c r="J554">
        <v>2</v>
      </c>
      <c r="K554">
        <v>31.78</v>
      </c>
    </row>
    <row r="555" spans="1:11">
      <c r="A555">
        <v>0.18859999999999999</v>
      </c>
      <c r="B555">
        <v>0.10100000000000001</v>
      </c>
      <c r="C555">
        <v>0.31519999999999998</v>
      </c>
      <c r="D555">
        <v>4.4400000000000002E-2</v>
      </c>
      <c r="E555">
        <v>0.2228</v>
      </c>
      <c r="F555">
        <v>0.1278</v>
      </c>
      <c r="G555">
        <v>120</v>
      </c>
      <c r="H555">
        <v>130</v>
      </c>
      <c r="I555">
        <v>51</v>
      </c>
      <c r="J555">
        <v>1</v>
      </c>
      <c r="K555">
        <v>22.632000000000001</v>
      </c>
    </row>
    <row r="556" spans="1:11">
      <c r="A556">
        <v>0.4904</v>
      </c>
      <c r="B556">
        <v>9.4399999999999998E-2</v>
      </c>
      <c r="C556">
        <v>0.11849999999999999</v>
      </c>
      <c r="D556">
        <v>7.0000000000000001E-3</v>
      </c>
      <c r="E556">
        <v>0.1023</v>
      </c>
      <c r="F556">
        <v>0.18740000000000001</v>
      </c>
      <c r="G556">
        <v>90</v>
      </c>
      <c r="H556">
        <v>150</v>
      </c>
      <c r="I556">
        <v>38</v>
      </c>
      <c r="J556">
        <v>2</v>
      </c>
      <c r="K556">
        <v>44.136000000000003</v>
      </c>
    </row>
    <row r="557" spans="1:11">
      <c r="A557">
        <v>0.35499999999999998</v>
      </c>
      <c r="B557">
        <v>0.10979999999999999</v>
      </c>
      <c r="C557">
        <v>0.15570000000000001</v>
      </c>
      <c r="D557">
        <v>6.7000000000000002E-3</v>
      </c>
      <c r="E557">
        <v>0.14849999999999999</v>
      </c>
      <c r="F557">
        <v>0.2243</v>
      </c>
      <c r="G557">
        <v>90</v>
      </c>
      <c r="H557">
        <v>210</v>
      </c>
      <c r="I557">
        <v>45</v>
      </c>
      <c r="J557">
        <v>1</v>
      </c>
      <c r="K557">
        <v>31.95</v>
      </c>
    </row>
    <row r="558" spans="1:11">
      <c r="A558">
        <v>0.41520000000000001</v>
      </c>
      <c r="B558">
        <v>0.1457</v>
      </c>
      <c r="C558">
        <v>5.3100000000000001E-2</v>
      </c>
      <c r="D558">
        <v>4.4499999999999998E-2</v>
      </c>
      <c r="E558">
        <v>8.6999999999999994E-3</v>
      </c>
      <c r="F558">
        <v>0.33289999999999997</v>
      </c>
      <c r="G558">
        <v>70</v>
      </c>
      <c r="H558">
        <v>110</v>
      </c>
      <c r="I558">
        <v>27</v>
      </c>
      <c r="J558">
        <v>2</v>
      </c>
      <c r="K558">
        <v>29.064</v>
      </c>
    </row>
    <row r="559" spans="1:11">
      <c r="A559">
        <v>0.42549999999999999</v>
      </c>
      <c r="B559">
        <v>0.15479999999999999</v>
      </c>
      <c r="C559">
        <v>0.23380000000000001</v>
      </c>
      <c r="D559">
        <v>0</v>
      </c>
      <c r="E559">
        <v>0</v>
      </c>
      <c r="F559">
        <v>0.18590000000000001</v>
      </c>
      <c r="G559">
        <v>60</v>
      </c>
      <c r="H559">
        <v>120</v>
      </c>
      <c r="I559">
        <v>36</v>
      </c>
      <c r="J559">
        <v>2</v>
      </c>
      <c r="K559">
        <v>25.53</v>
      </c>
    </row>
    <row r="560" spans="1:11">
      <c r="A560">
        <v>0.48380000000000001</v>
      </c>
      <c r="B560">
        <v>6.9400000000000003E-2</v>
      </c>
      <c r="C560">
        <v>0.1215</v>
      </c>
      <c r="D560">
        <v>2.9100000000000001E-2</v>
      </c>
      <c r="E560">
        <v>7.5300000000000006E-2</v>
      </c>
      <c r="F560">
        <v>0.22090000000000001</v>
      </c>
      <c r="G560">
        <v>80</v>
      </c>
      <c r="H560">
        <v>110</v>
      </c>
      <c r="I560">
        <v>28</v>
      </c>
      <c r="J560">
        <v>2</v>
      </c>
      <c r="K560">
        <v>38.704000000000001</v>
      </c>
    </row>
    <row r="561" spans="1:11">
      <c r="A561">
        <v>0.50360000000000005</v>
      </c>
      <c r="B561">
        <v>8.7599999999999997E-2</v>
      </c>
      <c r="C561">
        <v>5.3600000000000002E-2</v>
      </c>
      <c r="D561">
        <v>1.7100000000000001E-2</v>
      </c>
      <c r="E561">
        <v>0.14929999999999999</v>
      </c>
      <c r="F561">
        <v>0.18890000000000001</v>
      </c>
      <c r="G561">
        <v>100</v>
      </c>
      <c r="H561">
        <v>50</v>
      </c>
      <c r="I561">
        <v>40</v>
      </c>
      <c r="J561">
        <v>2</v>
      </c>
      <c r="K561">
        <v>50.36</v>
      </c>
    </row>
    <row r="562" spans="1:11">
      <c r="A562">
        <v>0.45979999999999999</v>
      </c>
      <c r="B562">
        <v>3.6900000000000002E-2</v>
      </c>
      <c r="C562">
        <v>0.21629999999999999</v>
      </c>
      <c r="D562">
        <v>0</v>
      </c>
      <c r="E562">
        <v>0.19259999999999999</v>
      </c>
      <c r="F562">
        <v>9.4399999999999998E-2</v>
      </c>
      <c r="G562">
        <v>100</v>
      </c>
      <c r="H562">
        <v>110</v>
      </c>
      <c r="I562">
        <v>34</v>
      </c>
      <c r="J562">
        <v>2</v>
      </c>
      <c r="K562">
        <v>45.98</v>
      </c>
    </row>
    <row r="563" spans="1:11">
      <c r="A563">
        <v>0.26819999999999999</v>
      </c>
      <c r="B563">
        <v>6.6500000000000004E-2</v>
      </c>
      <c r="C563">
        <v>0.12529999999999999</v>
      </c>
      <c r="D563">
        <v>2.6100000000000002E-2</v>
      </c>
      <c r="E563">
        <v>0.14990000000000001</v>
      </c>
      <c r="F563">
        <v>0.3639</v>
      </c>
      <c r="G563">
        <v>140</v>
      </c>
      <c r="H563">
        <v>110</v>
      </c>
      <c r="I563">
        <v>37</v>
      </c>
      <c r="J563">
        <v>2</v>
      </c>
      <c r="K563">
        <v>37.548000000000002</v>
      </c>
    </row>
    <row r="564" spans="1:11">
      <c r="A564">
        <v>0.39989999999999998</v>
      </c>
      <c r="B564">
        <v>0.1028</v>
      </c>
      <c r="C564">
        <v>0.1033</v>
      </c>
      <c r="D564">
        <v>7.2700000000000001E-2</v>
      </c>
      <c r="E564">
        <v>0.1512</v>
      </c>
      <c r="F564">
        <v>0.1701</v>
      </c>
      <c r="G564">
        <v>40</v>
      </c>
      <c r="H564">
        <v>120</v>
      </c>
      <c r="I564">
        <v>42</v>
      </c>
      <c r="J564">
        <v>1</v>
      </c>
      <c r="K564">
        <v>15.996</v>
      </c>
    </row>
    <row r="565" spans="1:11">
      <c r="A565">
        <v>0.48359999999999997</v>
      </c>
      <c r="B565">
        <v>9.9199999999999997E-2</v>
      </c>
      <c r="C565">
        <v>2.7699999999999999E-2</v>
      </c>
      <c r="D565">
        <v>3.44E-2</v>
      </c>
      <c r="E565">
        <v>0.24390000000000001</v>
      </c>
      <c r="F565">
        <v>0.1111</v>
      </c>
      <c r="G565">
        <v>70</v>
      </c>
      <c r="H565">
        <v>90</v>
      </c>
      <c r="I565">
        <v>26</v>
      </c>
      <c r="J565">
        <v>2</v>
      </c>
      <c r="K565">
        <v>33.851999999999997</v>
      </c>
    </row>
    <row r="566" spans="1:11">
      <c r="A566">
        <v>0.32550000000000001</v>
      </c>
      <c r="B566">
        <v>0.1208</v>
      </c>
      <c r="C566">
        <v>0.1105</v>
      </c>
      <c r="D566">
        <v>1.23E-2</v>
      </c>
      <c r="E566">
        <v>0.2147</v>
      </c>
      <c r="F566">
        <v>0.21629999999999999</v>
      </c>
      <c r="G566">
        <v>80</v>
      </c>
      <c r="H566">
        <v>120</v>
      </c>
      <c r="I566">
        <v>45</v>
      </c>
      <c r="J566">
        <v>1</v>
      </c>
      <c r="K566">
        <v>26.04</v>
      </c>
    </row>
    <row r="567" spans="1:11">
      <c r="A567">
        <v>0.27179999999999999</v>
      </c>
      <c r="B567">
        <v>6.6900000000000001E-2</v>
      </c>
      <c r="C567">
        <v>3.2099999999999997E-2</v>
      </c>
      <c r="D567">
        <v>7.6700000000000004E-2</v>
      </c>
      <c r="E567">
        <v>0.24310000000000001</v>
      </c>
      <c r="F567">
        <v>0.30940000000000001</v>
      </c>
      <c r="G567">
        <v>120</v>
      </c>
      <c r="H567">
        <v>170</v>
      </c>
      <c r="I567">
        <v>47</v>
      </c>
      <c r="J567">
        <v>1</v>
      </c>
      <c r="K567">
        <v>32.616</v>
      </c>
    </row>
    <row r="568" spans="1:11">
      <c r="A568">
        <v>0.29599999999999999</v>
      </c>
      <c r="B568">
        <v>5.7799999999999997E-2</v>
      </c>
      <c r="C568">
        <v>0.37030000000000002</v>
      </c>
      <c r="D568">
        <v>2.5999999999999999E-2</v>
      </c>
      <c r="E568">
        <v>2.9700000000000001E-2</v>
      </c>
      <c r="F568">
        <v>0.22020000000000001</v>
      </c>
      <c r="G568">
        <v>210</v>
      </c>
      <c r="H568">
        <v>170</v>
      </c>
      <c r="I568">
        <v>37</v>
      </c>
      <c r="J568">
        <v>2</v>
      </c>
      <c r="K568">
        <v>62.16</v>
      </c>
    </row>
    <row r="569" spans="1:11">
      <c r="A569">
        <v>0.61550000000000005</v>
      </c>
      <c r="B569">
        <v>4.8000000000000001E-2</v>
      </c>
      <c r="C569">
        <v>6.93E-2</v>
      </c>
      <c r="D569">
        <v>0</v>
      </c>
      <c r="E569">
        <v>2.52E-2</v>
      </c>
      <c r="F569">
        <v>0.24210000000000001</v>
      </c>
      <c r="G569">
        <v>60</v>
      </c>
      <c r="H569">
        <v>100</v>
      </c>
      <c r="I569">
        <v>33</v>
      </c>
      <c r="J569">
        <v>1</v>
      </c>
      <c r="K569">
        <v>36.93</v>
      </c>
    </row>
    <row r="570" spans="1:11">
      <c r="A570">
        <v>0.34989999999999999</v>
      </c>
      <c r="B570">
        <v>0.1116</v>
      </c>
      <c r="C570">
        <v>0.19239999999999999</v>
      </c>
      <c r="D570">
        <v>0.125</v>
      </c>
      <c r="E570">
        <v>3.15E-2</v>
      </c>
      <c r="F570">
        <v>0.1895</v>
      </c>
      <c r="G570">
        <v>60</v>
      </c>
      <c r="H570">
        <v>110</v>
      </c>
      <c r="I570">
        <v>29</v>
      </c>
      <c r="J570">
        <v>1</v>
      </c>
      <c r="K570">
        <v>20.994</v>
      </c>
    </row>
    <row r="571" spans="1:11">
      <c r="A571">
        <v>0.32279999999999998</v>
      </c>
      <c r="B571">
        <v>0.10199999999999999</v>
      </c>
      <c r="C571">
        <v>4.7999999999999996E-3</v>
      </c>
      <c r="D571">
        <v>8.5000000000000006E-2</v>
      </c>
      <c r="E571">
        <v>0.31080000000000002</v>
      </c>
      <c r="F571">
        <v>0.17460000000000001</v>
      </c>
      <c r="G571">
        <v>90</v>
      </c>
      <c r="H571">
        <v>100</v>
      </c>
      <c r="I571">
        <v>25</v>
      </c>
      <c r="J571">
        <v>1</v>
      </c>
      <c r="K571">
        <v>29.052</v>
      </c>
    </row>
    <row r="572" spans="1:11">
      <c r="A572">
        <v>0.26960000000000001</v>
      </c>
      <c r="B572">
        <v>2.75E-2</v>
      </c>
      <c r="C572">
        <v>0.21360000000000001</v>
      </c>
      <c r="D572">
        <v>0</v>
      </c>
      <c r="E572">
        <v>0.248</v>
      </c>
      <c r="F572">
        <v>0.24129999999999999</v>
      </c>
      <c r="G572">
        <v>130</v>
      </c>
      <c r="H572">
        <v>100</v>
      </c>
      <c r="I572">
        <v>33</v>
      </c>
      <c r="J572">
        <v>2</v>
      </c>
      <c r="K572">
        <v>35.048000000000002</v>
      </c>
    </row>
    <row r="573" spans="1:11">
      <c r="A573">
        <v>0.4229</v>
      </c>
      <c r="B573">
        <v>9.3299999999999994E-2</v>
      </c>
      <c r="C573">
        <v>0</v>
      </c>
      <c r="D573">
        <v>1.6299999999999999E-2</v>
      </c>
      <c r="E573">
        <v>0.112</v>
      </c>
      <c r="F573">
        <v>0.35560000000000003</v>
      </c>
      <c r="G573">
        <v>70</v>
      </c>
      <c r="H573">
        <v>120</v>
      </c>
      <c r="I573">
        <v>49</v>
      </c>
      <c r="J573">
        <v>1</v>
      </c>
      <c r="K573">
        <v>29.603000000000002</v>
      </c>
    </row>
    <row r="574" spans="1:11">
      <c r="A574">
        <v>0.20499999999999999</v>
      </c>
      <c r="B574">
        <v>5.4300000000000001E-2</v>
      </c>
      <c r="C574">
        <v>1.34E-2</v>
      </c>
      <c r="D574">
        <v>8.5000000000000006E-3</v>
      </c>
      <c r="E574">
        <v>0.36470000000000002</v>
      </c>
      <c r="F574">
        <v>0.35420000000000001</v>
      </c>
      <c r="G574">
        <v>190</v>
      </c>
      <c r="H574">
        <v>200</v>
      </c>
      <c r="I574">
        <v>29</v>
      </c>
      <c r="J574">
        <v>1</v>
      </c>
      <c r="K574">
        <v>38.950000000000003</v>
      </c>
    </row>
    <row r="575" spans="1:11">
      <c r="A575">
        <v>0.26850000000000002</v>
      </c>
      <c r="B575">
        <v>0.11700000000000001</v>
      </c>
      <c r="C575">
        <v>0.32700000000000001</v>
      </c>
      <c r="D575">
        <v>2.3E-3</v>
      </c>
      <c r="E575">
        <v>0.1105</v>
      </c>
      <c r="F575">
        <v>0.17469999999999999</v>
      </c>
      <c r="G575">
        <v>110</v>
      </c>
      <c r="H575">
        <v>140</v>
      </c>
      <c r="I575">
        <v>28</v>
      </c>
      <c r="J575">
        <v>1</v>
      </c>
      <c r="K575">
        <v>29.535</v>
      </c>
    </row>
    <row r="576" spans="1:11">
      <c r="A576">
        <v>0.2964</v>
      </c>
      <c r="B576">
        <v>0.20949999999999999</v>
      </c>
      <c r="C576">
        <v>7.9000000000000008E-3</v>
      </c>
      <c r="D576">
        <v>0.17369999999999999</v>
      </c>
      <c r="E576">
        <v>4.7699999999999999E-2</v>
      </c>
      <c r="F576">
        <v>0.26500000000000001</v>
      </c>
      <c r="G576">
        <v>60</v>
      </c>
      <c r="H576">
        <v>80</v>
      </c>
      <c r="I576">
        <v>25</v>
      </c>
      <c r="J576">
        <v>2</v>
      </c>
      <c r="K576">
        <v>17.783999999999999</v>
      </c>
    </row>
    <row r="577" spans="1:11">
      <c r="A577">
        <v>0.39639999999999997</v>
      </c>
      <c r="B577">
        <v>8.9300000000000004E-2</v>
      </c>
      <c r="C577">
        <v>9.06E-2</v>
      </c>
      <c r="D577">
        <v>1.5100000000000001E-2</v>
      </c>
      <c r="E577">
        <v>0.29730000000000001</v>
      </c>
      <c r="F577">
        <v>0.1114</v>
      </c>
      <c r="G577">
        <v>70</v>
      </c>
      <c r="H577">
        <v>80</v>
      </c>
      <c r="I577">
        <v>34</v>
      </c>
      <c r="J577">
        <v>1</v>
      </c>
      <c r="K577">
        <v>27.748000000000001</v>
      </c>
    </row>
    <row r="578" spans="1:11">
      <c r="A578">
        <v>0.38550000000000001</v>
      </c>
      <c r="B578">
        <v>0.1724</v>
      </c>
      <c r="C578">
        <v>1.37E-2</v>
      </c>
      <c r="D578">
        <v>2.3E-3</v>
      </c>
      <c r="E578">
        <v>0.26319999999999999</v>
      </c>
      <c r="F578">
        <v>0.16289999999999999</v>
      </c>
      <c r="G578">
        <v>100</v>
      </c>
      <c r="H578">
        <v>120</v>
      </c>
      <c r="I578">
        <v>38</v>
      </c>
      <c r="J578">
        <v>1</v>
      </c>
      <c r="K578">
        <v>38.549999999999997</v>
      </c>
    </row>
    <row r="579" spans="1:11">
      <c r="A579">
        <v>0.4148</v>
      </c>
      <c r="B579">
        <v>9.5600000000000004E-2</v>
      </c>
      <c r="C579">
        <v>0</v>
      </c>
      <c r="D579">
        <v>0</v>
      </c>
      <c r="E579">
        <v>0.27660000000000001</v>
      </c>
      <c r="F579">
        <v>0.21299999999999999</v>
      </c>
      <c r="G579">
        <v>50</v>
      </c>
      <c r="H579">
        <v>110</v>
      </c>
      <c r="I579">
        <v>52</v>
      </c>
      <c r="J579">
        <v>1</v>
      </c>
      <c r="K579">
        <v>20.74</v>
      </c>
    </row>
    <row r="580" spans="1:11">
      <c r="A580">
        <v>0.35099999999999998</v>
      </c>
      <c r="B580">
        <v>0.15310000000000001</v>
      </c>
      <c r="C580">
        <v>0.13239999999999999</v>
      </c>
      <c r="D580">
        <v>0</v>
      </c>
      <c r="E580">
        <v>0.158</v>
      </c>
      <c r="F580">
        <v>0.20549999999999999</v>
      </c>
      <c r="G580">
        <v>60</v>
      </c>
      <c r="H580">
        <v>100</v>
      </c>
      <c r="I580">
        <v>40</v>
      </c>
      <c r="J580">
        <v>1</v>
      </c>
      <c r="K580">
        <v>21.06</v>
      </c>
    </row>
    <row r="581" spans="1:11">
      <c r="A581">
        <v>0.47739999999999999</v>
      </c>
      <c r="B581">
        <v>4.0300000000000002E-2</v>
      </c>
      <c r="C581">
        <v>0.21929999999999999</v>
      </c>
      <c r="D581">
        <v>0</v>
      </c>
      <c r="E581">
        <v>9.2799999999999994E-2</v>
      </c>
      <c r="F581">
        <v>0.17030000000000001</v>
      </c>
      <c r="G581">
        <v>90</v>
      </c>
      <c r="H581">
        <v>100</v>
      </c>
      <c r="I581">
        <v>39</v>
      </c>
      <c r="J581">
        <v>2</v>
      </c>
      <c r="K581">
        <v>42.966000000000001</v>
      </c>
    </row>
    <row r="582" spans="1:11">
      <c r="A582">
        <v>0.47349999999999998</v>
      </c>
      <c r="B582">
        <v>0.111</v>
      </c>
      <c r="C582">
        <v>0.1358</v>
      </c>
      <c r="D582">
        <v>2.69E-2</v>
      </c>
      <c r="E582">
        <v>4.02E-2</v>
      </c>
      <c r="F582">
        <v>0.21260000000000001</v>
      </c>
      <c r="G582">
        <v>70</v>
      </c>
      <c r="H582">
        <v>100</v>
      </c>
      <c r="I582">
        <v>28</v>
      </c>
      <c r="J582">
        <v>1</v>
      </c>
      <c r="K582">
        <v>33.145000000000003</v>
      </c>
    </row>
    <row r="583" spans="1:11">
      <c r="A583">
        <v>0.42899999999999999</v>
      </c>
      <c r="B583">
        <v>0.1225</v>
      </c>
      <c r="C583">
        <v>5.74E-2</v>
      </c>
      <c r="D583">
        <v>1.9E-2</v>
      </c>
      <c r="E583">
        <v>7.9799999999999996E-2</v>
      </c>
      <c r="F583">
        <v>0.2923</v>
      </c>
      <c r="G583">
        <v>60</v>
      </c>
      <c r="H583">
        <v>160</v>
      </c>
      <c r="I583">
        <v>40</v>
      </c>
      <c r="J583">
        <v>2</v>
      </c>
      <c r="K583">
        <v>25.74</v>
      </c>
    </row>
    <row r="584" spans="1:11">
      <c r="A584">
        <v>0.21729999999999999</v>
      </c>
      <c r="B584">
        <v>2.63E-2</v>
      </c>
      <c r="C584">
        <v>0.1613</v>
      </c>
      <c r="D584">
        <v>0.42809999999999998</v>
      </c>
      <c r="E584">
        <v>7.9899999999999999E-2</v>
      </c>
      <c r="F584">
        <v>8.7099999999999997E-2</v>
      </c>
      <c r="G584">
        <v>150</v>
      </c>
      <c r="H584">
        <v>120</v>
      </c>
      <c r="I584">
        <v>40</v>
      </c>
      <c r="J584">
        <v>2</v>
      </c>
      <c r="K584">
        <v>32.594999999999999</v>
      </c>
    </row>
    <row r="585" spans="1:11">
      <c r="A585">
        <v>0.26829999999999998</v>
      </c>
      <c r="B585">
        <v>0.15820000000000001</v>
      </c>
      <c r="C585">
        <v>1.2800000000000001E-2</v>
      </c>
      <c r="D585">
        <v>0</v>
      </c>
      <c r="E585">
        <v>0.29549999999999998</v>
      </c>
      <c r="F585">
        <v>0.2651</v>
      </c>
      <c r="G585">
        <v>50</v>
      </c>
      <c r="H585">
        <v>150</v>
      </c>
      <c r="I585">
        <v>34</v>
      </c>
      <c r="J585">
        <v>1</v>
      </c>
      <c r="K585">
        <v>13.414999999999999</v>
      </c>
    </row>
    <row r="586" spans="1:11">
      <c r="A586">
        <v>0.34260000000000002</v>
      </c>
      <c r="B586">
        <v>0.19989999999999999</v>
      </c>
      <c r="C586">
        <v>0.13850000000000001</v>
      </c>
      <c r="D586">
        <v>4.7999999999999996E-3</v>
      </c>
      <c r="E586">
        <v>0.1545</v>
      </c>
      <c r="F586">
        <v>0.15970000000000001</v>
      </c>
      <c r="G586">
        <v>60</v>
      </c>
      <c r="H586">
        <v>140</v>
      </c>
      <c r="I586">
        <v>30</v>
      </c>
      <c r="J586">
        <v>2</v>
      </c>
      <c r="K586">
        <v>20.556000000000001</v>
      </c>
    </row>
    <row r="587" spans="1:11">
      <c r="A587">
        <v>0.4138</v>
      </c>
      <c r="B587">
        <v>0.14979999999999999</v>
      </c>
      <c r="C587">
        <v>1.7100000000000001E-2</v>
      </c>
      <c r="D587">
        <v>0.1024</v>
      </c>
      <c r="E587">
        <v>0.12759999999999999</v>
      </c>
      <c r="F587">
        <v>0.1893</v>
      </c>
      <c r="G587">
        <v>50</v>
      </c>
      <c r="H587">
        <v>80</v>
      </c>
      <c r="I587">
        <v>36</v>
      </c>
      <c r="J587">
        <v>2</v>
      </c>
      <c r="K587">
        <v>20.69</v>
      </c>
    </row>
    <row r="588" spans="1:11">
      <c r="A588">
        <v>0.33210000000000001</v>
      </c>
      <c r="B588">
        <v>4.7899999999999998E-2</v>
      </c>
      <c r="C588">
        <v>0.31809999999999999</v>
      </c>
      <c r="D588">
        <v>4.3400000000000001E-2</v>
      </c>
      <c r="E588">
        <v>2.3099999999999999E-2</v>
      </c>
      <c r="F588">
        <v>0.2354</v>
      </c>
      <c r="G588">
        <v>140</v>
      </c>
      <c r="H588">
        <v>200</v>
      </c>
      <c r="I588">
        <v>38</v>
      </c>
      <c r="J588">
        <v>1</v>
      </c>
      <c r="K588">
        <v>46.494</v>
      </c>
    </row>
    <row r="589" spans="1:11">
      <c r="A589">
        <v>0.40210000000000001</v>
      </c>
      <c r="B589">
        <v>6.5699999999999995E-2</v>
      </c>
      <c r="C589">
        <v>5.9299999999999999E-2</v>
      </c>
      <c r="D589">
        <v>7.5399999999999995E-2</v>
      </c>
      <c r="E589">
        <v>8.3199999999999996E-2</v>
      </c>
      <c r="F589">
        <v>0.31440000000000001</v>
      </c>
      <c r="G589">
        <v>90</v>
      </c>
      <c r="H589">
        <v>90</v>
      </c>
      <c r="I589">
        <v>37</v>
      </c>
      <c r="J589">
        <v>2</v>
      </c>
      <c r="K589">
        <v>36.189</v>
      </c>
    </row>
    <row r="590" spans="1:11">
      <c r="A590">
        <v>0.39539999999999997</v>
      </c>
      <c r="B590">
        <v>6.13E-2</v>
      </c>
      <c r="C590">
        <v>0</v>
      </c>
      <c r="D590">
        <v>7.1000000000000004E-3</v>
      </c>
      <c r="E590">
        <v>0.31359999999999999</v>
      </c>
      <c r="F590">
        <v>0.22259999999999999</v>
      </c>
      <c r="G590">
        <v>70</v>
      </c>
      <c r="H590">
        <v>130</v>
      </c>
      <c r="I590">
        <v>40</v>
      </c>
      <c r="J590">
        <v>2</v>
      </c>
      <c r="K590">
        <v>27.678000000000001</v>
      </c>
    </row>
    <row r="591" spans="1:11">
      <c r="A591">
        <v>0.3211</v>
      </c>
      <c r="B591">
        <v>8.1500000000000003E-2</v>
      </c>
      <c r="C591">
        <v>0.18790000000000001</v>
      </c>
      <c r="D591">
        <v>2.7E-2</v>
      </c>
      <c r="E591">
        <v>8.4500000000000006E-2</v>
      </c>
      <c r="F591">
        <v>0.29799999999999999</v>
      </c>
      <c r="G591">
        <v>110</v>
      </c>
      <c r="H591">
        <v>120</v>
      </c>
      <c r="I591">
        <v>37</v>
      </c>
      <c r="J591">
        <v>2</v>
      </c>
      <c r="K591">
        <v>35.320999999999998</v>
      </c>
    </row>
    <row r="592" spans="1:11">
      <c r="A592">
        <v>0.36459999999999998</v>
      </c>
      <c r="B592">
        <v>6.1499999999999999E-2</v>
      </c>
      <c r="C592">
        <v>0.2261</v>
      </c>
      <c r="D592">
        <v>3.7900000000000003E-2</v>
      </c>
      <c r="E592">
        <v>9.6600000000000005E-2</v>
      </c>
      <c r="F592">
        <v>0.21329999999999999</v>
      </c>
      <c r="G592">
        <v>90</v>
      </c>
      <c r="H592">
        <v>110</v>
      </c>
      <c r="I592">
        <v>37</v>
      </c>
      <c r="J592">
        <v>2</v>
      </c>
      <c r="K592">
        <v>32.814</v>
      </c>
    </row>
    <row r="593" spans="1:11">
      <c r="A593">
        <v>0.52049999999999996</v>
      </c>
      <c r="B593">
        <v>7.7299999999999994E-2</v>
      </c>
      <c r="C593">
        <v>3.39E-2</v>
      </c>
      <c r="D593">
        <v>1.9E-3</v>
      </c>
      <c r="E593">
        <v>0.15279999999999999</v>
      </c>
      <c r="F593">
        <v>0.21360000000000001</v>
      </c>
      <c r="G593">
        <v>70</v>
      </c>
      <c r="H593">
        <v>100</v>
      </c>
      <c r="I593">
        <v>50</v>
      </c>
      <c r="J593">
        <v>1</v>
      </c>
      <c r="K593">
        <v>36.435000000000002</v>
      </c>
    </row>
    <row r="594" spans="1:11">
      <c r="A594">
        <v>0.45739999999999997</v>
      </c>
      <c r="B594">
        <v>0.1615</v>
      </c>
      <c r="C594">
        <v>6.59E-2</v>
      </c>
      <c r="D594">
        <v>6.2600000000000003E-2</v>
      </c>
      <c r="E594">
        <v>1.6199999999999999E-2</v>
      </c>
      <c r="F594">
        <v>0.23630000000000001</v>
      </c>
      <c r="G594">
        <v>80</v>
      </c>
      <c r="H594">
        <v>110</v>
      </c>
      <c r="I594">
        <v>31</v>
      </c>
      <c r="J594">
        <v>2</v>
      </c>
      <c r="K594">
        <v>36.591999999999999</v>
      </c>
    </row>
    <row r="595" spans="1:11">
      <c r="A595">
        <v>0.39979999999999999</v>
      </c>
      <c r="B595">
        <v>5.5399999999999998E-2</v>
      </c>
      <c r="C595">
        <v>8.8099999999999998E-2</v>
      </c>
      <c r="D595">
        <v>0.13350000000000001</v>
      </c>
      <c r="E595">
        <v>0</v>
      </c>
      <c r="F595">
        <v>0.32329999999999998</v>
      </c>
      <c r="G595">
        <v>100</v>
      </c>
      <c r="H595">
        <v>150</v>
      </c>
      <c r="I595">
        <v>34</v>
      </c>
      <c r="J595">
        <v>2</v>
      </c>
      <c r="K595">
        <v>39.979999999999997</v>
      </c>
    </row>
    <row r="596" spans="1:11">
      <c r="A596">
        <v>0.44740000000000002</v>
      </c>
      <c r="B596">
        <v>0.10440000000000001</v>
      </c>
      <c r="C596">
        <v>2.9700000000000001E-2</v>
      </c>
      <c r="D596">
        <v>0</v>
      </c>
      <c r="E596">
        <v>0.28360000000000002</v>
      </c>
      <c r="F596">
        <v>0.13489999999999999</v>
      </c>
      <c r="G596">
        <v>60</v>
      </c>
      <c r="H596">
        <v>140</v>
      </c>
      <c r="I596">
        <v>34</v>
      </c>
      <c r="J596">
        <v>1</v>
      </c>
      <c r="K596">
        <v>26.844000000000001</v>
      </c>
    </row>
    <row r="597" spans="1:11">
      <c r="A597">
        <v>0.4123</v>
      </c>
      <c r="B597">
        <v>9.1399999999999995E-2</v>
      </c>
      <c r="C597">
        <v>4.6300000000000001E-2</v>
      </c>
      <c r="D597">
        <v>4.2299999999999997E-2</v>
      </c>
      <c r="E597">
        <v>0.13239999999999999</v>
      </c>
      <c r="F597">
        <v>0.2752</v>
      </c>
      <c r="G597">
        <v>90</v>
      </c>
      <c r="H597">
        <v>90</v>
      </c>
      <c r="I597">
        <v>28</v>
      </c>
      <c r="J597">
        <v>2</v>
      </c>
      <c r="K597">
        <v>37.106999999999999</v>
      </c>
    </row>
    <row r="598" spans="1:11">
      <c r="A598">
        <v>0.35930000000000001</v>
      </c>
      <c r="B598">
        <v>0.15329999999999999</v>
      </c>
      <c r="C598">
        <v>0.26939999999999997</v>
      </c>
      <c r="D598">
        <v>5.1000000000000004E-3</v>
      </c>
      <c r="E598">
        <v>4.8099999999999997E-2</v>
      </c>
      <c r="F598">
        <v>0.16470000000000001</v>
      </c>
      <c r="G598">
        <v>90</v>
      </c>
      <c r="H598">
        <v>80</v>
      </c>
      <c r="I598">
        <v>41</v>
      </c>
      <c r="J598">
        <v>2</v>
      </c>
      <c r="K598">
        <v>32.337000000000003</v>
      </c>
    </row>
    <row r="599" spans="1:11">
      <c r="A599">
        <v>0.40410000000000001</v>
      </c>
      <c r="B599">
        <v>0.1333</v>
      </c>
      <c r="C599">
        <v>0.15679999999999999</v>
      </c>
      <c r="D599">
        <v>2.24E-2</v>
      </c>
      <c r="E599">
        <v>3.3599999999999998E-2</v>
      </c>
      <c r="F599">
        <v>0.24990000000000001</v>
      </c>
      <c r="G599">
        <v>120</v>
      </c>
      <c r="H599">
        <v>100</v>
      </c>
      <c r="I599">
        <v>37</v>
      </c>
      <c r="J599">
        <v>2</v>
      </c>
      <c r="K599">
        <v>48.491999999999997</v>
      </c>
    </row>
    <row r="600" spans="1:11">
      <c r="A600">
        <v>0.32419999999999999</v>
      </c>
      <c r="B600">
        <v>6.59E-2</v>
      </c>
      <c r="C600">
        <v>3.95E-2</v>
      </c>
      <c r="D600">
        <v>4.2799999999999998E-2</v>
      </c>
      <c r="E600">
        <v>0.1905</v>
      </c>
      <c r="F600">
        <v>0.3372</v>
      </c>
      <c r="G600">
        <v>90</v>
      </c>
      <c r="H600">
        <v>120</v>
      </c>
      <c r="I600">
        <v>47</v>
      </c>
      <c r="J600">
        <v>2</v>
      </c>
      <c r="K600">
        <v>29.178000000000001</v>
      </c>
    </row>
    <row r="601" spans="1:11">
      <c r="A601">
        <v>0.42609999999999998</v>
      </c>
      <c r="B601">
        <v>0.14230000000000001</v>
      </c>
      <c r="C601">
        <v>9.3700000000000006E-2</v>
      </c>
      <c r="D601">
        <v>2.8799999999999999E-2</v>
      </c>
      <c r="E601">
        <v>0</v>
      </c>
      <c r="F601">
        <v>0.309</v>
      </c>
      <c r="G601">
        <v>80</v>
      </c>
      <c r="H601">
        <v>110</v>
      </c>
      <c r="I601">
        <v>41</v>
      </c>
      <c r="J601">
        <v>2</v>
      </c>
      <c r="K601">
        <v>34.088000000000001</v>
      </c>
    </row>
    <row r="602" spans="1:11">
      <c r="A602">
        <v>0.35709999999999997</v>
      </c>
      <c r="B602">
        <v>7.7299999999999994E-2</v>
      </c>
      <c r="C602">
        <v>0.10879999999999999</v>
      </c>
      <c r="D602">
        <v>3.6400000000000002E-2</v>
      </c>
      <c r="E602">
        <v>0.16520000000000001</v>
      </c>
      <c r="F602">
        <v>0.25530000000000003</v>
      </c>
      <c r="G602">
        <v>110</v>
      </c>
      <c r="H602">
        <v>210</v>
      </c>
      <c r="I602">
        <v>38</v>
      </c>
      <c r="J602">
        <v>1</v>
      </c>
      <c r="K602">
        <v>39.280999999999999</v>
      </c>
    </row>
    <row r="603" spans="1:11">
      <c r="A603">
        <v>0.35020000000000001</v>
      </c>
      <c r="B603">
        <v>0.11700000000000001</v>
      </c>
      <c r="C603">
        <v>4.1300000000000003E-2</v>
      </c>
      <c r="D603">
        <v>6.4000000000000001E-2</v>
      </c>
      <c r="E603">
        <v>0.16639999999999999</v>
      </c>
      <c r="F603">
        <v>0.26100000000000001</v>
      </c>
      <c r="G603">
        <v>70</v>
      </c>
      <c r="H603">
        <v>140</v>
      </c>
      <c r="I603">
        <v>37</v>
      </c>
      <c r="J603">
        <v>1</v>
      </c>
      <c r="K603">
        <v>24.513999999999999</v>
      </c>
    </row>
    <row r="604" spans="1:11">
      <c r="A604">
        <v>0.4289</v>
      </c>
      <c r="B604">
        <v>8.5199999999999998E-2</v>
      </c>
      <c r="C604">
        <v>5.3900000000000003E-2</v>
      </c>
      <c r="D604">
        <v>2.0500000000000001E-2</v>
      </c>
      <c r="E604">
        <v>0.21190000000000001</v>
      </c>
      <c r="F604">
        <v>0.1996</v>
      </c>
      <c r="G604">
        <v>90</v>
      </c>
      <c r="H604">
        <v>120</v>
      </c>
      <c r="I604">
        <v>31</v>
      </c>
      <c r="J604">
        <v>2</v>
      </c>
      <c r="K604">
        <v>38.600999999999999</v>
      </c>
    </row>
    <row r="605" spans="1:11">
      <c r="A605">
        <v>0.4743</v>
      </c>
      <c r="B605">
        <v>0.2177</v>
      </c>
      <c r="C605">
        <v>2.2100000000000002E-2</v>
      </c>
      <c r="D605">
        <v>9.4000000000000004E-3</v>
      </c>
      <c r="E605">
        <v>4.3E-3</v>
      </c>
      <c r="F605">
        <v>0.27210000000000001</v>
      </c>
      <c r="G605">
        <v>70</v>
      </c>
      <c r="H605">
        <v>90</v>
      </c>
      <c r="I605">
        <v>29</v>
      </c>
      <c r="J605">
        <v>1</v>
      </c>
      <c r="K605">
        <v>33.201000000000001</v>
      </c>
    </row>
    <row r="606" spans="1:11">
      <c r="A606">
        <v>0.3821</v>
      </c>
      <c r="B606">
        <v>9.7900000000000001E-2</v>
      </c>
      <c r="C606">
        <v>0.1333</v>
      </c>
      <c r="D606">
        <v>8.0999999999999996E-3</v>
      </c>
      <c r="E606">
        <v>0.1051</v>
      </c>
      <c r="F606">
        <v>0.27350000000000002</v>
      </c>
      <c r="G606">
        <v>90</v>
      </c>
      <c r="H606">
        <v>140</v>
      </c>
      <c r="I606">
        <v>34</v>
      </c>
      <c r="J606">
        <v>1</v>
      </c>
      <c r="K606">
        <v>34.389000000000003</v>
      </c>
    </row>
    <row r="607" spans="1:11">
      <c r="A607">
        <v>0.34499999999999997</v>
      </c>
      <c r="B607">
        <v>0.13420000000000001</v>
      </c>
      <c r="C607">
        <v>0.15060000000000001</v>
      </c>
      <c r="D607">
        <v>1.0200000000000001E-2</v>
      </c>
      <c r="E607">
        <v>0.18260000000000001</v>
      </c>
      <c r="F607">
        <v>0.1774</v>
      </c>
      <c r="G607">
        <v>50</v>
      </c>
      <c r="H607">
        <v>70</v>
      </c>
      <c r="I607">
        <v>33</v>
      </c>
      <c r="J607">
        <v>1</v>
      </c>
      <c r="K607">
        <v>17.25</v>
      </c>
    </row>
    <row r="608" spans="1:11">
      <c r="A608">
        <v>0.35249999999999998</v>
      </c>
      <c r="B608">
        <v>7.7700000000000005E-2</v>
      </c>
      <c r="C608">
        <v>0.19109999999999999</v>
      </c>
      <c r="D608">
        <v>3.3399999999999999E-2</v>
      </c>
      <c r="E608">
        <v>7.9899999999999999E-2</v>
      </c>
      <c r="F608">
        <v>0.2656</v>
      </c>
      <c r="G608">
        <v>90</v>
      </c>
      <c r="H608">
        <v>100</v>
      </c>
      <c r="I608">
        <v>32</v>
      </c>
      <c r="J608">
        <v>2</v>
      </c>
      <c r="K608">
        <v>31.725000000000001</v>
      </c>
    </row>
    <row r="609" spans="1:11">
      <c r="A609">
        <v>0.32969999999999999</v>
      </c>
      <c r="B609">
        <v>0.17219999999999999</v>
      </c>
      <c r="C609">
        <v>2.8E-3</v>
      </c>
      <c r="D609">
        <v>5.9700000000000003E-2</v>
      </c>
      <c r="E609">
        <v>0.20749999999999999</v>
      </c>
      <c r="F609">
        <v>0.2281</v>
      </c>
      <c r="G609">
        <v>60</v>
      </c>
      <c r="H609">
        <v>100</v>
      </c>
      <c r="I609">
        <v>27</v>
      </c>
      <c r="J609">
        <v>2</v>
      </c>
      <c r="K609">
        <v>19.782</v>
      </c>
    </row>
    <row r="610" spans="1:11">
      <c r="A610">
        <v>0.33710000000000001</v>
      </c>
      <c r="B610">
        <v>0.1656</v>
      </c>
      <c r="C610">
        <v>7.9799999999999996E-2</v>
      </c>
      <c r="D610">
        <v>0.1008</v>
      </c>
      <c r="E610">
        <v>0.1101</v>
      </c>
      <c r="F610">
        <v>0.20660000000000001</v>
      </c>
      <c r="G610">
        <v>80</v>
      </c>
      <c r="H610">
        <v>90</v>
      </c>
      <c r="I610">
        <v>44</v>
      </c>
      <c r="J610">
        <v>1</v>
      </c>
      <c r="K610">
        <v>26.968</v>
      </c>
    </row>
    <row r="611" spans="1:11">
      <c r="A611">
        <v>0.40329999999999999</v>
      </c>
      <c r="B611">
        <v>0.12959999999999999</v>
      </c>
      <c r="C611">
        <v>4.6100000000000002E-2</v>
      </c>
      <c r="D611">
        <v>1.46E-2</v>
      </c>
      <c r="E611">
        <v>5.6500000000000002E-2</v>
      </c>
      <c r="F611">
        <v>0.34989999999999999</v>
      </c>
      <c r="G611">
        <v>100</v>
      </c>
      <c r="H611">
        <v>130</v>
      </c>
      <c r="I611">
        <v>36</v>
      </c>
      <c r="J611">
        <v>2</v>
      </c>
      <c r="K611">
        <v>40.33</v>
      </c>
    </row>
    <row r="612" spans="1:11">
      <c r="A612">
        <v>0.41549999999999998</v>
      </c>
      <c r="B612">
        <v>8.5099999999999995E-2</v>
      </c>
      <c r="C612">
        <v>1.35E-2</v>
      </c>
      <c r="D612">
        <v>1.6999999999999999E-3</v>
      </c>
      <c r="E612">
        <v>0.2586</v>
      </c>
      <c r="F612">
        <v>0.22559999999999999</v>
      </c>
      <c r="G612">
        <v>80</v>
      </c>
      <c r="H612">
        <v>130</v>
      </c>
      <c r="I612">
        <v>32</v>
      </c>
      <c r="J612">
        <v>2</v>
      </c>
      <c r="K612">
        <v>33.24</v>
      </c>
    </row>
    <row r="613" spans="1:11">
      <c r="A613">
        <v>0.60170000000000001</v>
      </c>
      <c r="B613">
        <v>0.20100000000000001</v>
      </c>
      <c r="C613">
        <v>1.0200000000000001E-2</v>
      </c>
      <c r="D613">
        <v>0</v>
      </c>
      <c r="E613">
        <v>0</v>
      </c>
      <c r="F613">
        <v>0.18720000000000001</v>
      </c>
      <c r="G613">
        <v>50</v>
      </c>
      <c r="H613">
        <v>90</v>
      </c>
      <c r="I613">
        <v>44</v>
      </c>
      <c r="J613">
        <v>1</v>
      </c>
      <c r="K613">
        <v>30.085000000000001</v>
      </c>
    </row>
    <row r="614" spans="1:11">
      <c r="A614">
        <v>0.60970000000000002</v>
      </c>
      <c r="B614">
        <v>2.5899999999999999E-2</v>
      </c>
      <c r="C614">
        <v>4.5699999999999998E-2</v>
      </c>
      <c r="D614">
        <v>0.13439999999999999</v>
      </c>
      <c r="E614">
        <v>3.56E-2</v>
      </c>
      <c r="F614">
        <v>0.14879999999999999</v>
      </c>
      <c r="G614">
        <v>100</v>
      </c>
      <c r="H614">
        <v>150</v>
      </c>
      <c r="I614">
        <v>26</v>
      </c>
      <c r="J614">
        <v>1</v>
      </c>
      <c r="K614">
        <v>60.97</v>
      </c>
    </row>
    <row r="615" spans="1:11">
      <c r="A615">
        <v>0.58650000000000002</v>
      </c>
      <c r="B615">
        <v>0.1774</v>
      </c>
      <c r="C615">
        <v>5.4000000000000003E-3</v>
      </c>
      <c r="D615">
        <v>1.9900000000000001E-2</v>
      </c>
      <c r="E615">
        <v>0.1452</v>
      </c>
      <c r="F615">
        <v>6.5600000000000006E-2</v>
      </c>
      <c r="G615">
        <v>40</v>
      </c>
      <c r="H615">
        <v>70</v>
      </c>
      <c r="I615">
        <v>29</v>
      </c>
      <c r="J615">
        <v>1</v>
      </c>
      <c r="K615">
        <v>23.46</v>
      </c>
    </row>
    <row r="616" spans="1:11">
      <c r="A616">
        <v>0.46129999999999999</v>
      </c>
      <c r="B616">
        <v>8.77E-2</v>
      </c>
      <c r="C616">
        <v>9.9000000000000005E-2</v>
      </c>
      <c r="D616">
        <v>0</v>
      </c>
      <c r="E616">
        <v>0.13980000000000001</v>
      </c>
      <c r="F616">
        <v>0.2122</v>
      </c>
      <c r="G616">
        <v>60</v>
      </c>
      <c r="H616">
        <v>130</v>
      </c>
      <c r="I616">
        <v>41</v>
      </c>
      <c r="J616">
        <v>1</v>
      </c>
      <c r="K616">
        <v>27.678000000000001</v>
      </c>
    </row>
    <row r="617" spans="1:11">
      <c r="A617">
        <v>0.41239999999999999</v>
      </c>
      <c r="B617">
        <v>3.9399999999999998E-2</v>
      </c>
      <c r="C617">
        <v>1.3299999999999999E-2</v>
      </c>
      <c r="D617">
        <v>7.8299999999999995E-2</v>
      </c>
      <c r="E617">
        <v>0.26579999999999998</v>
      </c>
      <c r="F617">
        <v>0.19070000000000001</v>
      </c>
      <c r="G617">
        <v>100</v>
      </c>
      <c r="H617">
        <v>270</v>
      </c>
      <c r="I617">
        <v>53</v>
      </c>
      <c r="J617">
        <v>1</v>
      </c>
      <c r="K617">
        <v>41.24</v>
      </c>
    </row>
    <row r="618" spans="1:11">
      <c r="A618">
        <v>0.34439999999999998</v>
      </c>
      <c r="B618">
        <v>5.5399999999999998E-2</v>
      </c>
      <c r="C618">
        <v>8.8099999999999998E-2</v>
      </c>
      <c r="D618">
        <v>1.2699999999999999E-2</v>
      </c>
      <c r="E618">
        <v>1.1999999999999999E-3</v>
      </c>
      <c r="F618">
        <v>0.49809999999999999</v>
      </c>
      <c r="G618">
        <v>110</v>
      </c>
      <c r="H618">
        <v>160</v>
      </c>
      <c r="I618">
        <v>31</v>
      </c>
      <c r="J618">
        <v>2</v>
      </c>
      <c r="K618">
        <v>37.884</v>
      </c>
    </row>
    <row r="619" spans="1:11">
      <c r="A619">
        <v>0.378</v>
      </c>
      <c r="B619">
        <v>8.4400000000000003E-2</v>
      </c>
      <c r="C619">
        <v>0.1171</v>
      </c>
      <c r="D619">
        <v>1.9900000000000001E-2</v>
      </c>
      <c r="E619">
        <v>8.3400000000000002E-2</v>
      </c>
      <c r="F619">
        <v>0.31719999999999998</v>
      </c>
      <c r="G619">
        <v>130</v>
      </c>
      <c r="H619">
        <v>200</v>
      </c>
      <c r="I619">
        <v>48</v>
      </c>
      <c r="J619">
        <v>2</v>
      </c>
      <c r="K619">
        <v>49.14</v>
      </c>
    </row>
    <row r="620" spans="1:11">
      <c r="A620">
        <v>0.40810000000000002</v>
      </c>
      <c r="B620">
        <v>4.8399999999999999E-2</v>
      </c>
      <c r="C620">
        <v>1.83E-2</v>
      </c>
      <c r="D620">
        <v>0.2024</v>
      </c>
      <c r="E620">
        <v>9.8900000000000002E-2</v>
      </c>
      <c r="F620">
        <v>0.22389999999999999</v>
      </c>
      <c r="G620">
        <v>90</v>
      </c>
      <c r="H620">
        <v>90</v>
      </c>
      <c r="I620">
        <v>26</v>
      </c>
      <c r="J620">
        <v>2</v>
      </c>
      <c r="K620">
        <v>36.728999999999999</v>
      </c>
    </row>
    <row r="621" spans="1:11">
      <c r="A621">
        <v>0.33939999999999998</v>
      </c>
      <c r="B621">
        <v>9.0300000000000005E-2</v>
      </c>
      <c r="C621">
        <v>0.12909999999999999</v>
      </c>
      <c r="D621">
        <v>0</v>
      </c>
      <c r="E621">
        <v>1.1900000000000001E-2</v>
      </c>
      <c r="F621">
        <v>0.42920000000000003</v>
      </c>
      <c r="G621">
        <v>70</v>
      </c>
      <c r="H621">
        <v>40</v>
      </c>
      <c r="I621">
        <v>35</v>
      </c>
      <c r="J621">
        <v>1</v>
      </c>
      <c r="K621">
        <v>23.757999999999999</v>
      </c>
    </row>
    <row r="622" spans="1:11">
      <c r="A622">
        <v>0.52600000000000002</v>
      </c>
      <c r="B622">
        <v>7.2800000000000004E-2</v>
      </c>
      <c r="C622">
        <v>4.1200000000000001E-2</v>
      </c>
      <c r="D622">
        <v>0</v>
      </c>
      <c r="E622">
        <v>0.1086</v>
      </c>
      <c r="F622">
        <v>0.2515</v>
      </c>
      <c r="G622">
        <v>100</v>
      </c>
      <c r="H622">
        <v>160</v>
      </c>
      <c r="I622">
        <v>37</v>
      </c>
      <c r="J622">
        <v>2</v>
      </c>
      <c r="K622">
        <v>52.6</v>
      </c>
    </row>
    <row r="623" spans="1:11">
      <c r="A623">
        <v>0.43969999999999998</v>
      </c>
      <c r="B623">
        <v>0.1928</v>
      </c>
      <c r="C623">
        <v>0.02</v>
      </c>
      <c r="D623">
        <v>2.3E-2</v>
      </c>
      <c r="E623">
        <v>0.1772</v>
      </c>
      <c r="F623">
        <v>0.14729999999999999</v>
      </c>
      <c r="G623">
        <v>70</v>
      </c>
      <c r="H623">
        <v>90</v>
      </c>
      <c r="I623">
        <v>30</v>
      </c>
      <c r="J623">
        <v>1</v>
      </c>
      <c r="K623">
        <v>30.779</v>
      </c>
    </row>
    <row r="624" spans="1:11">
      <c r="A624">
        <v>0.3458</v>
      </c>
      <c r="B624">
        <v>6.3799999999999996E-2</v>
      </c>
      <c r="C624">
        <v>2.8E-3</v>
      </c>
      <c r="D624">
        <v>1.11E-2</v>
      </c>
      <c r="E624">
        <v>0.25469999999999998</v>
      </c>
      <c r="F624">
        <v>0.32179999999999997</v>
      </c>
      <c r="G624">
        <v>80</v>
      </c>
      <c r="H624">
        <v>40</v>
      </c>
      <c r="I624">
        <v>27</v>
      </c>
      <c r="J624">
        <v>2</v>
      </c>
      <c r="K624">
        <v>27.664000000000001</v>
      </c>
    </row>
    <row r="625" spans="1:11">
      <c r="A625">
        <v>0.52800000000000002</v>
      </c>
      <c r="B625">
        <v>6.2700000000000006E-2</v>
      </c>
      <c r="C625">
        <v>3.1399999999999997E-2</v>
      </c>
      <c r="D625">
        <v>2.4799999999999999E-2</v>
      </c>
      <c r="E625">
        <v>0.1009</v>
      </c>
      <c r="F625">
        <v>0.25230000000000002</v>
      </c>
      <c r="G625">
        <v>50</v>
      </c>
      <c r="H625">
        <v>90</v>
      </c>
      <c r="I625">
        <v>24</v>
      </c>
      <c r="J625">
        <v>2</v>
      </c>
      <c r="K625">
        <v>26.4</v>
      </c>
    </row>
    <row r="626" spans="1:11">
      <c r="A626">
        <v>0.3468</v>
      </c>
      <c r="B626">
        <v>0.10920000000000001</v>
      </c>
      <c r="C626">
        <v>0.21629999999999999</v>
      </c>
      <c r="D626">
        <v>0.1288</v>
      </c>
      <c r="E626">
        <v>0.1153</v>
      </c>
      <c r="F626">
        <v>8.3599999999999994E-2</v>
      </c>
      <c r="G626">
        <v>150</v>
      </c>
      <c r="H626">
        <v>190</v>
      </c>
      <c r="I626">
        <v>36</v>
      </c>
      <c r="J626">
        <v>2</v>
      </c>
      <c r="K626">
        <v>52.02</v>
      </c>
    </row>
    <row r="627" spans="1:11">
      <c r="A627">
        <v>0.33679999999999999</v>
      </c>
      <c r="B627">
        <v>7.6100000000000001E-2</v>
      </c>
      <c r="C627">
        <v>0.1608</v>
      </c>
      <c r="D627">
        <v>1.77E-2</v>
      </c>
      <c r="E627">
        <v>0.1525</v>
      </c>
      <c r="F627">
        <v>0.25609999999999999</v>
      </c>
      <c r="G627">
        <v>90</v>
      </c>
      <c r="H627">
        <v>140</v>
      </c>
      <c r="I627">
        <v>37</v>
      </c>
      <c r="J627">
        <v>2</v>
      </c>
      <c r="K627">
        <v>30.312000000000001</v>
      </c>
    </row>
    <row r="628" spans="1:11">
      <c r="A628">
        <v>0.371</v>
      </c>
      <c r="B628">
        <v>5.8200000000000002E-2</v>
      </c>
      <c r="C628">
        <v>7.22E-2</v>
      </c>
      <c r="D628">
        <v>1.66E-2</v>
      </c>
      <c r="E628">
        <v>0.1721</v>
      </c>
      <c r="F628">
        <v>0.30990000000000001</v>
      </c>
      <c r="G628">
        <v>130</v>
      </c>
      <c r="H628">
        <v>120</v>
      </c>
      <c r="I628">
        <v>48</v>
      </c>
      <c r="J628">
        <v>1</v>
      </c>
      <c r="K628">
        <v>48.23</v>
      </c>
    </row>
    <row r="629" spans="1:11">
      <c r="A629">
        <v>0.30559999999999998</v>
      </c>
      <c r="B629">
        <v>7.6100000000000001E-2</v>
      </c>
      <c r="C629">
        <v>5.8400000000000001E-2</v>
      </c>
      <c r="D629">
        <v>5.8000000000000003E-2</v>
      </c>
      <c r="E629">
        <v>0.1273</v>
      </c>
      <c r="F629">
        <v>0.37459999999999999</v>
      </c>
      <c r="G629">
        <v>100</v>
      </c>
      <c r="H629">
        <v>130</v>
      </c>
      <c r="I629">
        <v>34</v>
      </c>
      <c r="J629">
        <v>2</v>
      </c>
      <c r="K629">
        <v>30.56</v>
      </c>
    </row>
    <row r="630" spans="1:11">
      <c r="A630">
        <v>0.42980000000000002</v>
      </c>
      <c r="B630">
        <v>5.1499999999999997E-2</v>
      </c>
      <c r="C630">
        <v>5.8200000000000002E-2</v>
      </c>
      <c r="D630">
        <v>4.7800000000000002E-2</v>
      </c>
      <c r="E630">
        <v>0.224</v>
      </c>
      <c r="F630">
        <v>0.18870000000000001</v>
      </c>
      <c r="G630">
        <v>70</v>
      </c>
      <c r="H630">
        <v>110</v>
      </c>
      <c r="I630">
        <v>25</v>
      </c>
      <c r="J630">
        <v>2</v>
      </c>
      <c r="K630">
        <v>30.085999999999999</v>
      </c>
    </row>
    <row r="631" spans="1:11">
      <c r="A631">
        <v>0.51200000000000001</v>
      </c>
      <c r="B631">
        <v>5.79E-2</v>
      </c>
      <c r="C631">
        <v>9.5600000000000004E-2</v>
      </c>
      <c r="D631">
        <v>6.6600000000000006E-2</v>
      </c>
      <c r="E631">
        <v>3.7600000000000001E-2</v>
      </c>
      <c r="F631">
        <v>0.2303</v>
      </c>
      <c r="G631">
        <v>60</v>
      </c>
      <c r="H631">
        <v>110</v>
      </c>
      <c r="I631">
        <v>35</v>
      </c>
      <c r="J631">
        <v>2</v>
      </c>
      <c r="K631">
        <v>30.72</v>
      </c>
    </row>
    <row r="632" spans="1:11">
      <c r="A632">
        <v>0.55349999999999999</v>
      </c>
      <c r="B632">
        <v>9.11E-2</v>
      </c>
      <c r="C632">
        <v>2.3300000000000001E-2</v>
      </c>
      <c r="D632">
        <v>0.1002</v>
      </c>
      <c r="E632">
        <v>4.7300000000000002E-2</v>
      </c>
      <c r="F632">
        <v>0.18459999999999999</v>
      </c>
      <c r="G632">
        <v>110</v>
      </c>
      <c r="H632">
        <v>210</v>
      </c>
      <c r="I632">
        <v>27</v>
      </c>
      <c r="J632">
        <v>1</v>
      </c>
      <c r="K632">
        <v>60.884999999999998</v>
      </c>
    </row>
    <row r="633" spans="1:11">
      <c r="A633">
        <v>0.47320000000000001</v>
      </c>
      <c r="B633">
        <v>5.5300000000000002E-2</v>
      </c>
      <c r="C633">
        <v>0.16089999999999999</v>
      </c>
      <c r="D633">
        <v>2.0899999999999998E-2</v>
      </c>
      <c r="E633">
        <v>8.0699999999999994E-2</v>
      </c>
      <c r="F633">
        <v>0.20910000000000001</v>
      </c>
      <c r="G633">
        <v>100</v>
      </c>
      <c r="H633">
        <v>130</v>
      </c>
      <c r="I633">
        <v>50</v>
      </c>
      <c r="J633">
        <v>2</v>
      </c>
      <c r="K633">
        <v>47.32</v>
      </c>
    </row>
    <row r="634" spans="1:11">
      <c r="A634">
        <v>0.33460000000000001</v>
      </c>
      <c r="B634">
        <v>5.5E-2</v>
      </c>
      <c r="C634">
        <v>9.4200000000000006E-2</v>
      </c>
      <c r="D634">
        <v>2.0500000000000001E-2</v>
      </c>
      <c r="E634">
        <v>5.4699999999999999E-2</v>
      </c>
      <c r="F634">
        <v>0.44090000000000001</v>
      </c>
      <c r="G634">
        <v>140</v>
      </c>
      <c r="H634">
        <v>190</v>
      </c>
      <c r="I634">
        <v>45</v>
      </c>
      <c r="J634">
        <v>2</v>
      </c>
      <c r="K634">
        <v>46.844000000000001</v>
      </c>
    </row>
    <row r="635" spans="1:11">
      <c r="A635">
        <v>0.45390000000000003</v>
      </c>
      <c r="B635">
        <v>8.6099999999999996E-2</v>
      </c>
      <c r="C635">
        <v>0.22689999999999999</v>
      </c>
      <c r="D635">
        <v>1.8800000000000001E-2</v>
      </c>
      <c r="E635">
        <v>0.13009999999999999</v>
      </c>
      <c r="F635">
        <v>8.43E-2</v>
      </c>
      <c r="G635">
        <v>90</v>
      </c>
      <c r="H635">
        <v>150</v>
      </c>
      <c r="I635">
        <v>35</v>
      </c>
      <c r="J635">
        <v>2</v>
      </c>
      <c r="K635">
        <v>40.850999999999999</v>
      </c>
    </row>
    <row r="636" spans="1:11">
      <c r="A636">
        <v>0.25290000000000001</v>
      </c>
      <c r="B636">
        <v>6.5100000000000005E-2</v>
      </c>
      <c r="C636">
        <v>0.16500000000000001</v>
      </c>
      <c r="D636">
        <v>9.3399999999999997E-2</v>
      </c>
      <c r="E636">
        <v>0.1145</v>
      </c>
      <c r="F636">
        <v>0.30909999999999999</v>
      </c>
      <c r="G636">
        <v>120</v>
      </c>
      <c r="H636">
        <v>150</v>
      </c>
      <c r="I636">
        <v>30</v>
      </c>
      <c r="J636">
        <v>1</v>
      </c>
      <c r="K636">
        <v>30.347999999999999</v>
      </c>
    </row>
    <row r="637" spans="1:11">
      <c r="A637">
        <v>0.40949999999999998</v>
      </c>
      <c r="B637">
        <v>6.6100000000000006E-2</v>
      </c>
      <c r="C637">
        <v>0.191</v>
      </c>
      <c r="D637">
        <v>1.6799999999999999E-2</v>
      </c>
      <c r="E637">
        <v>0.1032</v>
      </c>
      <c r="F637">
        <v>0.21329999999999999</v>
      </c>
      <c r="G637">
        <v>100</v>
      </c>
      <c r="H637">
        <v>160</v>
      </c>
      <c r="I637">
        <v>43</v>
      </c>
      <c r="J637">
        <v>2</v>
      </c>
      <c r="K637">
        <v>40.950000000000003</v>
      </c>
    </row>
    <row r="638" spans="1:11">
      <c r="A638">
        <v>0.47610000000000002</v>
      </c>
      <c r="B638">
        <v>8.0600000000000005E-2</v>
      </c>
      <c r="C638">
        <v>4.9399999999999999E-2</v>
      </c>
      <c r="D638">
        <v>9.9000000000000008E-3</v>
      </c>
      <c r="E638">
        <v>0.2631</v>
      </c>
      <c r="F638">
        <v>0.1208</v>
      </c>
      <c r="G638">
        <v>80</v>
      </c>
      <c r="H638">
        <v>150</v>
      </c>
      <c r="I638">
        <v>41</v>
      </c>
      <c r="J638">
        <v>2</v>
      </c>
      <c r="K638">
        <v>38.088000000000001</v>
      </c>
    </row>
    <row r="639" spans="1:11">
      <c r="A639">
        <v>0.3407</v>
      </c>
      <c r="B639">
        <v>0.1071</v>
      </c>
      <c r="C639">
        <v>8.7999999999999995E-2</v>
      </c>
      <c r="D639">
        <v>3.7499999999999999E-2</v>
      </c>
      <c r="E639">
        <v>0.34860000000000002</v>
      </c>
      <c r="F639">
        <v>7.8E-2</v>
      </c>
      <c r="G639">
        <v>60</v>
      </c>
      <c r="H639">
        <v>100</v>
      </c>
      <c r="I639">
        <v>28</v>
      </c>
      <c r="J639">
        <v>2</v>
      </c>
      <c r="K639">
        <v>20.442</v>
      </c>
    </row>
    <row r="640" spans="1:11">
      <c r="A640">
        <v>0.2447</v>
      </c>
      <c r="B640">
        <v>7.9500000000000001E-2</v>
      </c>
      <c r="C640">
        <v>0</v>
      </c>
      <c r="D640">
        <v>8.7800000000000003E-2</v>
      </c>
      <c r="E640">
        <v>0.19489999999999999</v>
      </c>
      <c r="F640">
        <v>0.3931</v>
      </c>
      <c r="G640">
        <v>140</v>
      </c>
      <c r="H640">
        <v>200</v>
      </c>
      <c r="I640">
        <v>30</v>
      </c>
      <c r="J640">
        <v>1</v>
      </c>
      <c r="K640">
        <v>34.258000000000003</v>
      </c>
    </row>
    <row r="641" spans="1:11">
      <c r="A641">
        <v>0.27529999999999999</v>
      </c>
      <c r="B641">
        <v>1.44E-2</v>
      </c>
      <c r="C641">
        <v>0.13439999999999999</v>
      </c>
      <c r="D641">
        <v>4.7999999999999996E-3</v>
      </c>
      <c r="E641">
        <v>0.36809999999999998</v>
      </c>
      <c r="F641">
        <v>0.2029</v>
      </c>
      <c r="G641">
        <v>180</v>
      </c>
      <c r="H641">
        <v>140</v>
      </c>
      <c r="I641">
        <v>43</v>
      </c>
      <c r="J641">
        <v>2</v>
      </c>
      <c r="K641">
        <v>49.554000000000002</v>
      </c>
    </row>
    <row r="642" spans="1:11">
      <c r="A642">
        <v>0.27989999999999998</v>
      </c>
      <c r="B642">
        <v>7.1400000000000005E-2</v>
      </c>
      <c r="C642">
        <v>0.10249999999999999</v>
      </c>
      <c r="D642">
        <v>0</v>
      </c>
      <c r="E642">
        <v>0.27960000000000002</v>
      </c>
      <c r="F642">
        <v>0.2666</v>
      </c>
      <c r="G642">
        <v>150</v>
      </c>
      <c r="H642">
        <v>140</v>
      </c>
      <c r="I642">
        <v>34</v>
      </c>
      <c r="J642">
        <v>2</v>
      </c>
      <c r="K642">
        <v>41.984999999999999</v>
      </c>
    </row>
    <row r="643" spans="1:11">
      <c r="A643">
        <v>0.24260000000000001</v>
      </c>
      <c r="B643">
        <v>0.22819999999999999</v>
      </c>
      <c r="C643">
        <v>0</v>
      </c>
      <c r="D643">
        <v>0</v>
      </c>
      <c r="E643">
        <v>8.1900000000000001E-2</v>
      </c>
      <c r="F643">
        <v>0.44719999999999999</v>
      </c>
      <c r="G643">
        <v>110</v>
      </c>
      <c r="H643">
        <v>200</v>
      </c>
      <c r="I643">
        <v>45</v>
      </c>
      <c r="J643">
        <v>2</v>
      </c>
      <c r="K643">
        <v>26.686</v>
      </c>
    </row>
    <row r="644" spans="1:11">
      <c r="A644">
        <v>0.61129999999999995</v>
      </c>
      <c r="B644">
        <v>0.11609999999999999</v>
      </c>
      <c r="C644">
        <v>3.6200000000000003E-2</v>
      </c>
      <c r="D644">
        <v>3.4500000000000003E-2</v>
      </c>
      <c r="E644">
        <v>1.6799999999999999E-2</v>
      </c>
      <c r="F644">
        <v>0.18509999999999999</v>
      </c>
      <c r="G644">
        <v>40</v>
      </c>
      <c r="H644">
        <v>110</v>
      </c>
      <c r="I644">
        <v>35</v>
      </c>
      <c r="J644">
        <v>2</v>
      </c>
      <c r="K644">
        <v>24.452000000000002</v>
      </c>
    </row>
    <row r="645" spans="1:11">
      <c r="A645">
        <v>0.33579999999999999</v>
      </c>
      <c r="B645">
        <v>9.5899999999999999E-2</v>
      </c>
      <c r="C645">
        <v>1.4800000000000001E-2</v>
      </c>
      <c r="D645">
        <v>1.04E-2</v>
      </c>
      <c r="E645">
        <v>1.5E-3</v>
      </c>
      <c r="F645">
        <v>0.54169999999999996</v>
      </c>
      <c r="G645">
        <v>70</v>
      </c>
      <c r="H645">
        <v>90</v>
      </c>
      <c r="I645">
        <v>32</v>
      </c>
      <c r="J645">
        <v>1</v>
      </c>
      <c r="K645">
        <v>23.506</v>
      </c>
    </row>
    <row r="646" spans="1:11">
      <c r="A646">
        <v>0.41020000000000001</v>
      </c>
      <c r="B646">
        <v>0.104</v>
      </c>
      <c r="C646">
        <v>0.2505</v>
      </c>
      <c r="D646">
        <v>1.0999999999999999E-2</v>
      </c>
      <c r="E646">
        <v>1.44E-2</v>
      </c>
      <c r="F646">
        <v>0.2099</v>
      </c>
      <c r="G646">
        <v>100</v>
      </c>
      <c r="H646">
        <v>150</v>
      </c>
      <c r="I646">
        <v>37</v>
      </c>
      <c r="J646">
        <v>2</v>
      </c>
      <c r="K646">
        <v>41.02</v>
      </c>
    </row>
    <row r="647" spans="1:11">
      <c r="A647">
        <v>0.39610000000000001</v>
      </c>
      <c r="B647">
        <v>5.8400000000000001E-2</v>
      </c>
      <c r="C647">
        <v>1.14E-2</v>
      </c>
      <c r="D647">
        <v>0.35630000000000001</v>
      </c>
      <c r="E647">
        <v>4.3700000000000003E-2</v>
      </c>
      <c r="F647">
        <v>0.13400000000000001</v>
      </c>
      <c r="G647">
        <v>120</v>
      </c>
      <c r="H647">
        <v>150</v>
      </c>
      <c r="I647">
        <v>33</v>
      </c>
      <c r="J647">
        <v>2</v>
      </c>
      <c r="K647">
        <v>47.531999999999996</v>
      </c>
    </row>
    <row r="648" spans="1:11">
      <c r="A648">
        <v>0.36320000000000002</v>
      </c>
      <c r="B648">
        <v>0.12959999999999999</v>
      </c>
      <c r="C648">
        <v>8.8800000000000004E-2</v>
      </c>
      <c r="D648">
        <v>2.6700000000000002E-2</v>
      </c>
      <c r="E648">
        <v>0.24460000000000001</v>
      </c>
      <c r="F648">
        <v>0.14710000000000001</v>
      </c>
      <c r="G648">
        <v>60</v>
      </c>
      <c r="H648">
        <v>90</v>
      </c>
      <c r="I648">
        <v>37</v>
      </c>
      <c r="J648">
        <v>2</v>
      </c>
      <c r="K648">
        <v>21.792000000000002</v>
      </c>
    </row>
    <row r="649" spans="1:11">
      <c r="A649">
        <v>0.29599999999999999</v>
      </c>
      <c r="B649">
        <v>0.10390000000000001</v>
      </c>
      <c r="C649">
        <v>9.74E-2</v>
      </c>
      <c r="D649">
        <v>2.1499999999999998E-2</v>
      </c>
      <c r="E649">
        <v>0.32919999999999999</v>
      </c>
      <c r="F649">
        <v>0.152</v>
      </c>
      <c r="G649">
        <v>130</v>
      </c>
      <c r="H649">
        <v>140</v>
      </c>
      <c r="I649">
        <v>30</v>
      </c>
      <c r="J649">
        <v>1</v>
      </c>
      <c r="K649">
        <v>38.479999999999997</v>
      </c>
    </row>
    <row r="650" spans="1:11">
      <c r="A650">
        <v>0.35289999999999999</v>
      </c>
      <c r="B650">
        <v>4.65E-2</v>
      </c>
      <c r="C650">
        <v>7.6899999999999996E-2</v>
      </c>
      <c r="D650">
        <v>0.15529999999999999</v>
      </c>
      <c r="E650">
        <v>8.6099999999999996E-2</v>
      </c>
      <c r="F650">
        <v>0.28220000000000001</v>
      </c>
      <c r="G650">
        <v>130</v>
      </c>
      <c r="H650">
        <v>120</v>
      </c>
      <c r="I650">
        <v>37</v>
      </c>
      <c r="J650">
        <v>2</v>
      </c>
      <c r="K650">
        <v>45.877000000000002</v>
      </c>
    </row>
    <row r="651" spans="1:11">
      <c r="A651">
        <v>0.21260000000000001</v>
      </c>
      <c r="B651">
        <v>4.6800000000000001E-2</v>
      </c>
      <c r="C651">
        <v>0.2404</v>
      </c>
      <c r="D651">
        <v>0</v>
      </c>
      <c r="E651">
        <v>0.23130000000000001</v>
      </c>
      <c r="F651">
        <v>0.26889999999999997</v>
      </c>
      <c r="G651">
        <v>110</v>
      </c>
      <c r="H651">
        <v>110</v>
      </c>
      <c r="I651">
        <v>48</v>
      </c>
      <c r="J651">
        <v>1</v>
      </c>
      <c r="K651">
        <v>23.385999999999999</v>
      </c>
    </row>
    <row r="652" spans="1:11">
      <c r="A652">
        <v>0.33689999999999998</v>
      </c>
      <c r="B652">
        <v>4.53E-2</v>
      </c>
      <c r="C652">
        <v>0.1119</v>
      </c>
      <c r="D652">
        <v>4.1300000000000003E-2</v>
      </c>
      <c r="E652">
        <v>0.24560000000000001</v>
      </c>
      <c r="F652">
        <v>0.21909999999999999</v>
      </c>
      <c r="G652">
        <v>160</v>
      </c>
      <c r="H652">
        <v>160</v>
      </c>
      <c r="I652">
        <v>46</v>
      </c>
      <c r="J652">
        <v>2</v>
      </c>
      <c r="K652">
        <v>53.904000000000003</v>
      </c>
    </row>
    <row r="653" spans="1:11">
      <c r="A653">
        <v>0.3695</v>
      </c>
      <c r="B653">
        <v>7.9799999999999996E-2</v>
      </c>
      <c r="C653">
        <v>0.27579999999999999</v>
      </c>
      <c r="D653">
        <v>0.15</v>
      </c>
      <c r="E653">
        <v>1.67E-2</v>
      </c>
      <c r="F653">
        <v>0.1082</v>
      </c>
      <c r="G653">
        <v>120</v>
      </c>
      <c r="H653">
        <v>100</v>
      </c>
      <c r="I653">
        <v>42</v>
      </c>
      <c r="J653">
        <v>2</v>
      </c>
      <c r="K653">
        <v>44.34</v>
      </c>
    </row>
    <row r="654" spans="1:11">
      <c r="A654">
        <v>0.30320000000000003</v>
      </c>
      <c r="B654">
        <v>5.5500000000000001E-2</v>
      </c>
      <c r="C654">
        <v>0.24329999999999999</v>
      </c>
      <c r="D654">
        <v>1.7299999999999999E-2</v>
      </c>
      <c r="E654">
        <v>0.15559999999999999</v>
      </c>
      <c r="F654">
        <v>0.22509999999999999</v>
      </c>
      <c r="G654">
        <v>150</v>
      </c>
      <c r="H654">
        <v>180</v>
      </c>
      <c r="I654">
        <v>30</v>
      </c>
      <c r="J654">
        <v>1</v>
      </c>
      <c r="K654">
        <v>45.48</v>
      </c>
    </row>
    <row r="655" spans="1:11">
      <c r="A655">
        <v>0.32450000000000001</v>
      </c>
      <c r="B655">
        <v>6.4199999999999993E-2</v>
      </c>
      <c r="C655">
        <v>0.13100000000000001</v>
      </c>
      <c r="D655">
        <v>3.1099999999999999E-2</v>
      </c>
      <c r="E655">
        <v>0.20319999999999999</v>
      </c>
      <c r="F655">
        <v>0.246</v>
      </c>
      <c r="G655">
        <v>70</v>
      </c>
      <c r="H655">
        <v>110</v>
      </c>
      <c r="I655">
        <v>27</v>
      </c>
      <c r="J655">
        <v>1</v>
      </c>
      <c r="K655">
        <v>22.715</v>
      </c>
    </row>
    <row r="656" spans="1:11">
      <c r="A656">
        <v>0.45440000000000003</v>
      </c>
      <c r="B656">
        <v>0.1681</v>
      </c>
      <c r="C656">
        <v>0.11840000000000001</v>
      </c>
      <c r="D656">
        <v>0</v>
      </c>
      <c r="E656">
        <v>5.4199999999999998E-2</v>
      </c>
      <c r="F656">
        <v>0.2049</v>
      </c>
      <c r="G656">
        <v>60</v>
      </c>
      <c r="H656">
        <v>200</v>
      </c>
      <c r="I656">
        <v>47</v>
      </c>
      <c r="J656">
        <v>2</v>
      </c>
      <c r="K656">
        <v>27.263999999999999</v>
      </c>
    </row>
    <row r="657" spans="1:11">
      <c r="A657">
        <v>0.38969999999999999</v>
      </c>
      <c r="B657">
        <v>0.18360000000000001</v>
      </c>
      <c r="C657">
        <v>0</v>
      </c>
      <c r="D657">
        <v>0.1111</v>
      </c>
      <c r="E657">
        <v>0</v>
      </c>
      <c r="F657">
        <v>0.31559999999999999</v>
      </c>
      <c r="G657">
        <v>50</v>
      </c>
      <c r="H657">
        <v>110</v>
      </c>
      <c r="I657">
        <v>26</v>
      </c>
      <c r="J657">
        <v>1</v>
      </c>
      <c r="K657">
        <v>19.484999999999999</v>
      </c>
    </row>
    <row r="658" spans="1:11">
      <c r="A658">
        <v>0.25979999999999998</v>
      </c>
      <c r="B658">
        <v>0.1137</v>
      </c>
      <c r="C658">
        <v>0.14610000000000001</v>
      </c>
      <c r="D658">
        <v>0.12230000000000001</v>
      </c>
      <c r="E658">
        <v>0.1174</v>
      </c>
      <c r="F658">
        <v>0.2407</v>
      </c>
      <c r="G658">
        <v>80</v>
      </c>
      <c r="H658">
        <v>110</v>
      </c>
      <c r="I658">
        <v>30</v>
      </c>
      <c r="J658">
        <v>2</v>
      </c>
      <c r="K658">
        <v>20.783999999999999</v>
      </c>
    </row>
    <row r="659" spans="1:11">
      <c r="A659">
        <v>0.17730000000000001</v>
      </c>
      <c r="B659">
        <v>0.1409</v>
      </c>
      <c r="C659">
        <v>6.6600000000000006E-2</v>
      </c>
      <c r="D659">
        <v>3.2099999999999997E-2</v>
      </c>
      <c r="E659">
        <v>0.4168</v>
      </c>
      <c r="F659">
        <v>0.1663</v>
      </c>
      <c r="G659">
        <v>80</v>
      </c>
      <c r="H659">
        <v>100</v>
      </c>
      <c r="I659">
        <v>37</v>
      </c>
      <c r="J659">
        <v>1</v>
      </c>
      <c r="K659">
        <v>14.183999999999999</v>
      </c>
    </row>
    <row r="660" spans="1:11">
      <c r="A660">
        <v>0.14430000000000001</v>
      </c>
      <c r="B660">
        <v>7.4399999999999994E-2</v>
      </c>
      <c r="C660">
        <v>0.1734</v>
      </c>
      <c r="D660">
        <v>9.1000000000000004E-3</v>
      </c>
      <c r="E660">
        <v>0.24390000000000001</v>
      </c>
      <c r="F660">
        <v>0.35499999999999998</v>
      </c>
      <c r="G660">
        <v>220</v>
      </c>
      <c r="H660">
        <v>430</v>
      </c>
      <c r="I660">
        <v>40</v>
      </c>
      <c r="J660">
        <v>2</v>
      </c>
      <c r="K660">
        <v>31.745999999999999</v>
      </c>
    </row>
    <row r="661" spans="1:11">
      <c r="A661">
        <v>0.27339999999999998</v>
      </c>
      <c r="B661">
        <v>0.16</v>
      </c>
      <c r="C661">
        <v>9.7999999999999997E-3</v>
      </c>
      <c r="D661">
        <v>0</v>
      </c>
      <c r="E661">
        <v>0.21299999999999999</v>
      </c>
      <c r="F661">
        <v>0.34379999999999999</v>
      </c>
      <c r="G661">
        <v>130</v>
      </c>
      <c r="H661">
        <v>150</v>
      </c>
      <c r="I661">
        <v>47</v>
      </c>
      <c r="J661">
        <v>1</v>
      </c>
      <c r="K661">
        <v>35.542000000000002</v>
      </c>
    </row>
    <row r="662" spans="1:11">
      <c r="A662">
        <v>0.25080000000000002</v>
      </c>
      <c r="B662">
        <v>0.12379999999999999</v>
      </c>
      <c r="C662">
        <v>7.5499999999999998E-2</v>
      </c>
      <c r="D662">
        <v>1.5100000000000001E-2</v>
      </c>
      <c r="E662">
        <v>0.21340000000000001</v>
      </c>
      <c r="F662">
        <v>0.32140000000000002</v>
      </c>
      <c r="G662">
        <v>80</v>
      </c>
      <c r="H662">
        <v>200</v>
      </c>
      <c r="I662">
        <v>35</v>
      </c>
      <c r="J662">
        <v>1</v>
      </c>
      <c r="K662">
        <v>20.064</v>
      </c>
    </row>
    <row r="663" spans="1:11">
      <c r="A663">
        <v>0.42320000000000002</v>
      </c>
      <c r="B663">
        <v>7.3499999999999996E-2</v>
      </c>
      <c r="C663">
        <v>9.7199999999999995E-2</v>
      </c>
      <c r="D663">
        <v>0</v>
      </c>
      <c r="E663">
        <v>0.12889999999999999</v>
      </c>
      <c r="F663">
        <v>0.2772</v>
      </c>
      <c r="G663">
        <v>80</v>
      </c>
      <c r="H663">
        <v>100</v>
      </c>
      <c r="I663">
        <v>45</v>
      </c>
      <c r="J663">
        <v>2</v>
      </c>
      <c r="K663">
        <v>33.856000000000002</v>
      </c>
    </row>
    <row r="664" spans="1:11">
      <c r="A664">
        <v>0.54110000000000003</v>
      </c>
      <c r="B664">
        <v>7.9000000000000001E-2</v>
      </c>
      <c r="C664">
        <v>0</v>
      </c>
      <c r="D664">
        <v>0</v>
      </c>
      <c r="E664">
        <v>0.23430000000000001</v>
      </c>
      <c r="F664">
        <v>0.1457</v>
      </c>
      <c r="G664">
        <v>50</v>
      </c>
      <c r="H664">
        <v>130</v>
      </c>
      <c r="I664">
        <v>40</v>
      </c>
      <c r="J664">
        <v>1</v>
      </c>
      <c r="K664">
        <v>27.055</v>
      </c>
    </row>
    <row r="665" spans="1:11">
      <c r="A665">
        <v>0.27289999999999998</v>
      </c>
      <c r="B665">
        <v>3.27E-2</v>
      </c>
      <c r="C665">
        <v>0.42820000000000003</v>
      </c>
      <c r="D665">
        <v>1.5299999999999999E-2</v>
      </c>
      <c r="E665">
        <v>8.8999999999999996E-2</v>
      </c>
      <c r="F665">
        <v>0.16189999999999999</v>
      </c>
      <c r="G665">
        <v>80</v>
      </c>
      <c r="H665">
        <v>140</v>
      </c>
      <c r="I665">
        <v>32</v>
      </c>
      <c r="J665">
        <v>2</v>
      </c>
      <c r="K665">
        <v>21.832000000000001</v>
      </c>
    </row>
    <row r="666" spans="1:11">
      <c r="A666">
        <v>0.37640000000000001</v>
      </c>
      <c r="B666">
        <v>2.7300000000000001E-2</v>
      </c>
      <c r="C666">
        <v>7.2099999999999997E-2</v>
      </c>
      <c r="D666">
        <v>7.7499999999999999E-2</v>
      </c>
      <c r="E666">
        <v>0.17960000000000001</v>
      </c>
      <c r="F666">
        <v>0.2671</v>
      </c>
      <c r="G666">
        <v>80</v>
      </c>
      <c r="H666">
        <v>140</v>
      </c>
      <c r="I666">
        <v>27</v>
      </c>
      <c r="J666">
        <v>2</v>
      </c>
      <c r="K666">
        <v>30.111999999999998</v>
      </c>
    </row>
    <row r="667" spans="1:11">
      <c r="A667">
        <v>0.25219999999999998</v>
      </c>
      <c r="B667">
        <v>9.4299999999999995E-2</v>
      </c>
      <c r="C667">
        <v>6.5799999999999997E-2</v>
      </c>
      <c r="D667">
        <v>0</v>
      </c>
      <c r="E667">
        <v>0.35680000000000001</v>
      </c>
      <c r="F667">
        <v>0.23080000000000001</v>
      </c>
      <c r="G667">
        <v>100</v>
      </c>
      <c r="H667">
        <v>130</v>
      </c>
      <c r="I667">
        <v>38</v>
      </c>
      <c r="J667">
        <v>1</v>
      </c>
      <c r="K667">
        <v>25.22</v>
      </c>
    </row>
    <row r="668" spans="1:11">
      <c r="A668">
        <v>0.43969999999999998</v>
      </c>
      <c r="B668">
        <v>0.13969999999999999</v>
      </c>
      <c r="C668">
        <v>0.1143</v>
      </c>
      <c r="D668">
        <v>0</v>
      </c>
      <c r="E668">
        <v>0.1143</v>
      </c>
      <c r="F668">
        <v>0.19209999999999999</v>
      </c>
      <c r="G668">
        <v>70</v>
      </c>
      <c r="H668">
        <v>110</v>
      </c>
      <c r="I668">
        <v>36</v>
      </c>
      <c r="J668">
        <v>2</v>
      </c>
      <c r="K668">
        <v>30.779</v>
      </c>
    </row>
    <row r="669" spans="1:11">
      <c r="A669">
        <v>0.46200000000000002</v>
      </c>
      <c r="B669">
        <v>0.16370000000000001</v>
      </c>
      <c r="C669">
        <v>8.5999999999999993E-2</v>
      </c>
      <c r="D669">
        <v>2.1399999999999999E-2</v>
      </c>
      <c r="E669">
        <v>8.2500000000000004E-2</v>
      </c>
      <c r="F669">
        <v>0.18429999999999999</v>
      </c>
      <c r="G669">
        <v>110</v>
      </c>
      <c r="H669">
        <v>190</v>
      </c>
      <c r="I669">
        <v>36</v>
      </c>
      <c r="J669">
        <v>2</v>
      </c>
      <c r="K669">
        <v>50.82</v>
      </c>
    </row>
    <row r="670" spans="1:11">
      <c r="A670">
        <v>0.47549999999999998</v>
      </c>
      <c r="B670">
        <v>5.8200000000000002E-2</v>
      </c>
      <c r="C670">
        <v>0.20979999999999999</v>
      </c>
      <c r="D670">
        <v>3.6900000000000002E-2</v>
      </c>
      <c r="E670">
        <v>0.10349999999999999</v>
      </c>
      <c r="F670">
        <v>0.11609999999999999</v>
      </c>
      <c r="G670">
        <v>110</v>
      </c>
      <c r="H670">
        <v>130</v>
      </c>
      <c r="I670">
        <v>32</v>
      </c>
      <c r="J670">
        <v>2</v>
      </c>
      <c r="K670">
        <v>52.305</v>
      </c>
    </row>
    <row r="671" spans="1:11">
      <c r="A671">
        <v>0.44940000000000002</v>
      </c>
      <c r="B671">
        <v>6.0600000000000001E-2</v>
      </c>
      <c r="C671">
        <v>0.1157</v>
      </c>
      <c r="D671">
        <v>6.7199999999999996E-2</v>
      </c>
      <c r="E671">
        <v>0.12039999999999999</v>
      </c>
      <c r="F671">
        <v>0.1867</v>
      </c>
      <c r="G671">
        <v>110</v>
      </c>
      <c r="H671">
        <v>150</v>
      </c>
      <c r="I671">
        <v>32</v>
      </c>
      <c r="J671">
        <v>2</v>
      </c>
      <c r="K671">
        <v>49.433999999999997</v>
      </c>
    </row>
    <row r="672" spans="1:11">
      <c r="A672">
        <v>0.4446</v>
      </c>
      <c r="B672">
        <v>5.2600000000000001E-2</v>
      </c>
      <c r="C672">
        <v>0.13020000000000001</v>
      </c>
      <c r="D672">
        <v>5.4199999999999998E-2</v>
      </c>
      <c r="E672">
        <v>9.9900000000000003E-2</v>
      </c>
      <c r="F672">
        <v>0.2185</v>
      </c>
      <c r="G672">
        <v>80</v>
      </c>
      <c r="H672">
        <v>150</v>
      </c>
      <c r="I672">
        <v>28</v>
      </c>
      <c r="J672">
        <v>1</v>
      </c>
      <c r="K672">
        <v>35.567999999999998</v>
      </c>
    </row>
    <row r="673" spans="1:11">
      <c r="A673">
        <v>0.50619999999999998</v>
      </c>
      <c r="B673">
        <v>9.9599999999999994E-2</v>
      </c>
      <c r="C673">
        <v>8.5500000000000007E-2</v>
      </c>
      <c r="D673">
        <v>1.0999999999999999E-2</v>
      </c>
      <c r="E673">
        <v>2.7400000000000001E-2</v>
      </c>
      <c r="F673">
        <v>0.27029999999999998</v>
      </c>
      <c r="G673">
        <v>70</v>
      </c>
      <c r="H673">
        <v>160</v>
      </c>
      <c r="I673">
        <v>40</v>
      </c>
      <c r="J673">
        <v>2</v>
      </c>
      <c r="K673">
        <v>35.433999999999997</v>
      </c>
    </row>
    <row r="674" spans="1:11">
      <c r="A674">
        <v>0.36280000000000001</v>
      </c>
      <c r="B674">
        <v>0.12920000000000001</v>
      </c>
      <c r="C674">
        <v>4.5100000000000001E-2</v>
      </c>
      <c r="D674">
        <v>0</v>
      </c>
      <c r="E674">
        <v>0.35570000000000002</v>
      </c>
      <c r="F674">
        <v>0.1072</v>
      </c>
      <c r="G674">
        <v>100</v>
      </c>
      <c r="H674">
        <v>70</v>
      </c>
      <c r="I674">
        <v>37</v>
      </c>
      <c r="J674">
        <v>1</v>
      </c>
      <c r="K674">
        <v>36.28</v>
      </c>
    </row>
    <row r="675" spans="1:11">
      <c r="A675">
        <v>0.2586</v>
      </c>
      <c r="B675">
        <v>0.17480000000000001</v>
      </c>
      <c r="C675">
        <v>0.23499999999999999</v>
      </c>
      <c r="D675">
        <v>9.8799999999999999E-2</v>
      </c>
      <c r="E675">
        <v>8.2299999999999998E-2</v>
      </c>
      <c r="F675">
        <v>0.15049999999999999</v>
      </c>
      <c r="G675">
        <v>100</v>
      </c>
      <c r="H675">
        <v>160</v>
      </c>
      <c r="I675">
        <v>34</v>
      </c>
      <c r="J675">
        <v>2</v>
      </c>
      <c r="K675">
        <v>25.86</v>
      </c>
    </row>
    <row r="676" spans="1:11">
      <c r="A676">
        <v>0.42370000000000002</v>
      </c>
      <c r="B676">
        <v>0.1016</v>
      </c>
      <c r="C676">
        <v>0.1038</v>
      </c>
      <c r="D676">
        <v>0</v>
      </c>
      <c r="E676">
        <v>0.11269999999999999</v>
      </c>
      <c r="F676">
        <v>0.25819999999999999</v>
      </c>
      <c r="G676">
        <v>100</v>
      </c>
      <c r="H676">
        <v>220</v>
      </c>
      <c r="I676">
        <v>47</v>
      </c>
      <c r="J676">
        <v>2</v>
      </c>
      <c r="K676">
        <v>42.37</v>
      </c>
    </row>
    <row r="677" spans="1:11">
      <c r="A677">
        <v>0.1019</v>
      </c>
      <c r="B677">
        <v>0.39</v>
      </c>
      <c r="C677">
        <v>0.2097</v>
      </c>
      <c r="D677">
        <v>0</v>
      </c>
      <c r="E677">
        <v>0</v>
      </c>
      <c r="F677">
        <v>0.2984</v>
      </c>
      <c r="G677">
        <v>50</v>
      </c>
      <c r="H677">
        <v>260</v>
      </c>
      <c r="I677">
        <v>33</v>
      </c>
      <c r="J677">
        <v>2</v>
      </c>
      <c r="K677">
        <v>5.0949999999999998</v>
      </c>
    </row>
    <row r="678" spans="1:11">
      <c r="A678">
        <v>0.34649999999999997</v>
      </c>
      <c r="B678">
        <v>0.21729999999999999</v>
      </c>
      <c r="C678">
        <v>0</v>
      </c>
      <c r="D678">
        <v>0</v>
      </c>
      <c r="E678">
        <v>0.2918</v>
      </c>
      <c r="F678">
        <v>0.14430000000000001</v>
      </c>
      <c r="G678">
        <v>40</v>
      </c>
      <c r="H678">
        <v>100</v>
      </c>
      <c r="I678">
        <v>29</v>
      </c>
      <c r="J678">
        <v>2</v>
      </c>
      <c r="K678">
        <v>13.86</v>
      </c>
    </row>
    <row r="679" spans="1:11">
      <c r="A679">
        <v>0.36749999999999999</v>
      </c>
      <c r="B679">
        <v>4.0300000000000002E-2</v>
      </c>
      <c r="C679">
        <v>8.4199999999999997E-2</v>
      </c>
      <c r="D679">
        <v>8.5000000000000006E-3</v>
      </c>
      <c r="E679">
        <v>0.16880000000000001</v>
      </c>
      <c r="F679">
        <v>0.33069999999999999</v>
      </c>
      <c r="G679">
        <v>100</v>
      </c>
      <c r="H679">
        <v>70</v>
      </c>
      <c r="I679">
        <v>33</v>
      </c>
      <c r="J679">
        <v>2</v>
      </c>
      <c r="K679">
        <v>36.75</v>
      </c>
    </row>
    <row r="680" spans="1:11">
      <c r="A680">
        <v>0.39600000000000002</v>
      </c>
      <c r="B680">
        <v>7.2499999999999995E-2</v>
      </c>
      <c r="C680">
        <v>8.5800000000000001E-2</v>
      </c>
      <c r="D680">
        <v>7.1499999999999994E-2</v>
      </c>
      <c r="E680">
        <v>8.43E-2</v>
      </c>
      <c r="F680">
        <v>0.2898</v>
      </c>
      <c r="G680">
        <v>100</v>
      </c>
      <c r="H680">
        <v>120</v>
      </c>
      <c r="I680">
        <v>40</v>
      </c>
      <c r="J680">
        <v>2</v>
      </c>
      <c r="K680">
        <v>39.6</v>
      </c>
    </row>
    <row r="681" spans="1:11">
      <c r="A681">
        <v>0.34139999999999998</v>
      </c>
      <c r="B681">
        <v>0.1133</v>
      </c>
      <c r="C681">
        <v>0.26</v>
      </c>
      <c r="D681">
        <v>1.5699999999999999E-2</v>
      </c>
      <c r="E681">
        <v>0.1376</v>
      </c>
      <c r="F681">
        <v>0.13200000000000001</v>
      </c>
      <c r="G681">
        <v>100</v>
      </c>
      <c r="H681">
        <v>170</v>
      </c>
      <c r="I681">
        <v>35</v>
      </c>
      <c r="J681">
        <v>2</v>
      </c>
      <c r="K681">
        <v>34.14</v>
      </c>
    </row>
    <row r="682" spans="1:11">
      <c r="A682">
        <v>0.30719999999999997</v>
      </c>
      <c r="B682">
        <v>0.1255</v>
      </c>
      <c r="C682">
        <v>8.6699999999999999E-2</v>
      </c>
      <c r="D682">
        <v>1.15E-2</v>
      </c>
      <c r="E682">
        <v>0.14729999999999999</v>
      </c>
      <c r="F682">
        <v>0.32179999999999997</v>
      </c>
      <c r="G682">
        <v>130</v>
      </c>
      <c r="H682">
        <v>240</v>
      </c>
      <c r="I682">
        <v>48</v>
      </c>
      <c r="J682">
        <v>2</v>
      </c>
      <c r="K682">
        <v>39.936</v>
      </c>
    </row>
    <row r="683" spans="1:11">
      <c r="A683">
        <v>0.28079999999999999</v>
      </c>
      <c r="B683">
        <v>3.2300000000000002E-2</v>
      </c>
      <c r="C683">
        <v>2.9600000000000001E-2</v>
      </c>
      <c r="D683">
        <v>9.3200000000000005E-2</v>
      </c>
      <c r="E683">
        <v>0.1419</v>
      </c>
      <c r="F683">
        <v>0.42230000000000001</v>
      </c>
      <c r="G683">
        <v>260</v>
      </c>
      <c r="H683">
        <v>200</v>
      </c>
      <c r="I683">
        <v>48</v>
      </c>
      <c r="J683">
        <v>2</v>
      </c>
      <c r="K683">
        <v>73.007999999999996</v>
      </c>
    </row>
    <row r="684" spans="1:11">
      <c r="A684">
        <v>0.48010000000000003</v>
      </c>
      <c r="B684">
        <v>7.4800000000000005E-2</v>
      </c>
      <c r="C684">
        <v>5.7200000000000001E-2</v>
      </c>
      <c r="D684">
        <v>9.8599999999999993E-2</v>
      </c>
      <c r="E684">
        <v>5.5999999999999999E-3</v>
      </c>
      <c r="F684">
        <v>0.28389999999999999</v>
      </c>
      <c r="G684">
        <v>100</v>
      </c>
      <c r="H684">
        <v>150</v>
      </c>
      <c r="I684">
        <v>49</v>
      </c>
      <c r="J684">
        <v>1</v>
      </c>
      <c r="K684">
        <v>48.01</v>
      </c>
    </row>
    <row r="685" spans="1:11">
      <c r="A685">
        <v>0.45979999999999999</v>
      </c>
      <c r="B685">
        <v>0.1643</v>
      </c>
      <c r="C685">
        <v>1.12E-2</v>
      </c>
      <c r="D685">
        <v>2.1000000000000001E-2</v>
      </c>
      <c r="E685">
        <v>0.1575</v>
      </c>
      <c r="F685">
        <v>0.1862</v>
      </c>
      <c r="G685">
        <v>80</v>
      </c>
      <c r="H685">
        <v>190</v>
      </c>
      <c r="I685">
        <v>34</v>
      </c>
      <c r="J685">
        <v>2</v>
      </c>
      <c r="K685">
        <v>36.783999999999999</v>
      </c>
    </row>
    <row r="686" spans="1:11">
      <c r="A686">
        <v>0.4168</v>
      </c>
      <c r="B686">
        <v>7.1099999999999997E-2</v>
      </c>
      <c r="C686">
        <v>5.2400000000000002E-2</v>
      </c>
      <c r="D686">
        <v>6.5600000000000006E-2</v>
      </c>
      <c r="E686">
        <v>0.17749999999999999</v>
      </c>
      <c r="F686">
        <v>0.21659999999999999</v>
      </c>
      <c r="G686">
        <v>140</v>
      </c>
      <c r="H686">
        <v>160</v>
      </c>
      <c r="I686">
        <v>45</v>
      </c>
      <c r="J686">
        <v>1</v>
      </c>
      <c r="K686">
        <v>58.351999999999997</v>
      </c>
    </row>
    <row r="687" spans="1:11">
      <c r="A687">
        <v>0.19500000000000001</v>
      </c>
      <c r="B687">
        <v>8.8499999999999995E-2</v>
      </c>
      <c r="C687">
        <v>6.7599999999999993E-2</v>
      </c>
      <c r="D687">
        <v>1.7600000000000001E-2</v>
      </c>
      <c r="E687">
        <v>0.23580000000000001</v>
      </c>
      <c r="F687">
        <v>0.39550000000000002</v>
      </c>
      <c r="G687">
        <v>90</v>
      </c>
      <c r="H687">
        <v>150</v>
      </c>
      <c r="I687">
        <v>34</v>
      </c>
      <c r="J687">
        <v>1</v>
      </c>
      <c r="K687">
        <v>17.55</v>
      </c>
    </row>
    <row r="688" spans="1:11">
      <c r="A688">
        <v>0.41149999999999998</v>
      </c>
      <c r="B688">
        <v>0.1069</v>
      </c>
      <c r="C688">
        <v>0.16969999999999999</v>
      </c>
      <c r="D688">
        <v>0.1172</v>
      </c>
      <c r="E688">
        <v>3.3000000000000002E-2</v>
      </c>
      <c r="F688">
        <v>0.16170000000000001</v>
      </c>
      <c r="G688">
        <v>70</v>
      </c>
      <c r="H688">
        <v>130</v>
      </c>
      <c r="I688">
        <v>29</v>
      </c>
      <c r="J688">
        <v>2</v>
      </c>
      <c r="K688">
        <v>28.805</v>
      </c>
    </row>
    <row r="689" spans="1:11">
      <c r="A689">
        <v>0.53500000000000003</v>
      </c>
      <c r="B689">
        <v>0.12709999999999999</v>
      </c>
      <c r="C689">
        <v>0.14979999999999999</v>
      </c>
      <c r="D689">
        <v>3.5999999999999999E-3</v>
      </c>
      <c r="E689">
        <v>5.0000000000000001E-4</v>
      </c>
      <c r="F689">
        <v>0.184</v>
      </c>
      <c r="G689">
        <v>80</v>
      </c>
      <c r="H689">
        <v>110</v>
      </c>
      <c r="I689">
        <v>36</v>
      </c>
      <c r="J689">
        <v>2</v>
      </c>
      <c r="K689">
        <v>42.8</v>
      </c>
    </row>
    <row r="690" spans="1:11">
      <c r="A690">
        <v>0.37459999999999999</v>
      </c>
      <c r="B690">
        <v>8.4500000000000006E-2</v>
      </c>
      <c r="C690">
        <v>0.15659999999999999</v>
      </c>
      <c r="D690">
        <v>0</v>
      </c>
      <c r="E690">
        <v>0.1948</v>
      </c>
      <c r="F690">
        <v>0.18959999999999999</v>
      </c>
      <c r="G690">
        <v>80</v>
      </c>
      <c r="H690">
        <v>90</v>
      </c>
      <c r="I690">
        <v>43</v>
      </c>
      <c r="J690">
        <v>2</v>
      </c>
      <c r="K690">
        <v>29.968</v>
      </c>
    </row>
    <row r="691" spans="1:11">
      <c r="A691">
        <v>0.49859999999999999</v>
      </c>
      <c r="B691">
        <v>0.13519999999999999</v>
      </c>
      <c r="C691">
        <v>6.7699999999999996E-2</v>
      </c>
      <c r="D691">
        <v>5.0099999999999999E-2</v>
      </c>
      <c r="E691">
        <v>0.126</v>
      </c>
      <c r="F691">
        <v>0.1225</v>
      </c>
      <c r="G691">
        <v>120</v>
      </c>
      <c r="H691">
        <v>50</v>
      </c>
      <c r="I691">
        <v>36</v>
      </c>
      <c r="J691">
        <v>2</v>
      </c>
      <c r="K691">
        <v>59.832000000000001</v>
      </c>
    </row>
    <row r="692" spans="1:11">
      <c r="A692">
        <v>0.43020000000000003</v>
      </c>
      <c r="B692">
        <v>0.12130000000000001</v>
      </c>
      <c r="C692">
        <v>8.9999999999999993E-3</v>
      </c>
      <c r="D692">
        <v>0.22539999999999999</v>
      </c>
      <c r="E692">
        <v>0</v>
      </c>
      <c r="F692">
        <v>0.214</v>
      </c>
      <c r="G692">
        <v>70</v>
      </c>
      <c r="H692">
        <v>190</v>
      </c>
      <c r="I692">
        <v>38</v>
      </c>
      <c r="J692">
        <v>2</v>
      </c>
      <c r="K692">
        <v>30.114000000000001</v>
      </c>
    </row>
    <row r="693" spans="1:11">
      <c r="A693">
        <v>0.52170000000000005</v>
      </c>
      <c r="B693">
        <v>9.2600000000000002E-2</v>
      </c>
      <c r="C693">
        <v>1.4200000000000001E-2</v>
      </c>
      <c r="D693">
        <v>0.04</v>
      </c>
      <c r="E693">
        <v>0.16930000000000001</v>
      </c>
      <c r="F693">
        <v>0.16220000000000001</v>
      </c>
      <c r="G693">
        <v>80</v>
      </c>
      <c r="H693">
        <v>140</v>
      </c>
      <c r="I693">
        <v>54</v>
      </c>
      <c r="J693">
        <v>2</v>
      </c>
      <c r="K693">
        <v>41.735999999999997</v>
      </c>
    </row>
    <row r="694" spans="1:11">
      <c r="A694">
        <v>0.27139999999999997</v>
      </c>
      <c r="B694">
        <v>0.1101</v>
      </c>
      <c r="C694">
        <v>5.96E-2</v>
      </c>
      <c r="D694">
        <v>0</v>
      </c>
      <c r="E694">
        <v>0.24360000000000001</v>
      </c>
      <c r="F694">
        <v>0.31519999999999998</v>
      </c>
      <c r="G694">
        <v>130</v>
      </c>
      <c r="H694">
        <v>210</v>
      </c>
      <c r="I694">
        <v>33</v>
      </c>
      <c r="J694">
        <v>1</v>
      </c>
      <c r="K694">
        <v>35.281999999999996</v>
      </c>
    </row>
    <row r="695" spans="1:11">
      <c r="A695">
        <v>0.3952</v>
      </c>
      <c r="B695">
        <v>0.1653</v>
      </c>
      <c r="C695">
        <v>0.1096</v>
      </c>
      <c r="D695">
        <v>0</v>
      </c>
      <c r="E695">
        <v>0.10979999999999999</v>
      </c>
      <c r="F695">
        <v>0.22009999999999999</v>
      </c>
      <c r="G695">
        <v>90</v>
      </c>
      <c r="H695">
        <v>110</v>
      </c>
      <c r="I695">
        <v>45</v>
      </c>
      <c r="J695">
        <v>1</v>
      </c>
      <c r="K695">
        <v>35.567999999999998</v>
      </c>
    </row>
    <row r="696" spans="1:11">
      <c r="A696">
        <v>0.1651</v>
      </c>
      <c r="B696">
        <v>5.8700000000000002E-2</v>
      </c>
      <c r="C696">
        <v>0.38969999999999999</v>
      </c>
      <c r="D696">
        <v>0</v>
      </c>
      <c r="E696">
        <v>0.2717</v>
      </c>
      <c r="F696">
        <v>0.1148</v>
      </c>
      <c r="G696">
        <v>150</v>
      </c>
      <c r="H696">
        <v>130</v>
      </c>
      <c r="I696">
        <v>34</v>
      </c>
      <c r="J696">
        <v>2</v>
      </c>
      <c r="K696">
        <v>24.765000000000001</v>
      </c>
    </row>
    <row r="697" spans="1:11">
      <c r="A697">
        <v>0.19500000000000001</v>
      </c>
      <c r="B697">
        <v>9.9500000000000005E-2</v>
      </c>
      <c r="C697">
        <v>0.40389999999999998</v>
      </c>
      <c r="D697">
        <v>7.6999999999999999E-2</v>
      </c>
      <c r="E697">
        <v>5.1700000000000003E-2</v>
      </c>
      <c r="F697">
        <v>0.17299999999999999</v>
      </c>
      <c r="G697">
        <v>210</v>
      </c>
      <c r="H697">
        <v>320</v>
      </c>
      <c r="I697">
        <v>49</v>
      </c>
      <c r="J697">
        <v>1</v>
      </c>
      <c r="K697">
        <v>40.950000000000003</v>
      </c>
    </row>
    <row r="698" spans="1:11">
      <c r="A698">
        <v>0.34699999999999998</v>
      </c>
      <c r="B698">
        <v>7.7700000000000005E-2</v>
      </c>
      <c r="C698">
        <v>0.24429999999999999</v>
      </c>
      <c r="D698">
        <v>1.8800000000000001E-2</v>
      </c>
      <c r="E698">
        <v>0.13689999999999999</v>
      </c>
      <c r="F698">
        <v>0.17530000000000001</v>
      </c>
      <c r="G698">
        <v>120</v>
      </c>
      <c r="H698">
        <v>150</v>
      </c>
      <c r="I698">
        <v>32</v>
      </c>
      <c r="J698">
        <v>2</v>
      </c>
      <c r="K698">
        <v>41.64</v>
      </c>
    </row>
    <row r="699" spans="1:11">
      <c r="A699">
        <v>0.29759999999999998</v>
      </c>
      <c r="B699">
        <v>7.5200000000000003E-2</v>
      </c>
      <c r="C699">
        <v>6.1600000000000002E-2</v>
      </c>
      <c r="D699">
        <v>3.8100000000000002E-2</v>
      </c>
      <c r="E699">
        <v>0.21590000000000001</v>
      </c>
      <c r="F699">
        <v>0.31159999999999999</v>
      </c>
      <c r="G699">
        <v>70</v>
      </c>
      <c r="H699">
        <v>100</v>
      </c>
      <c r="I699">
        <v>27</v>
      </c>
      <c r="J699">
        <v>2</v>
      </c>
      <c r="K699">
        <v>20.832000000000001</v>
      </c>
    </row>
    <row r="700" spans="1:11">
      <c r="A700">
        <v>0.46039999999999998</v>
      </c>
      <c r="B700">
        <v>7.2599999999999998E-2</v>
      </c>
      <c r="C700">
        <v>6.0199999999999997E-2</v>
      </c>
      <c r="D700">
        <v>0.1704</v>
      </c>
      <c r="E700">
        <v>8.6900000000000005E-2</v>
      </c>
      <c r="F700">
        <v>0.14949999999999999</v>
      </c>
      <c r="G700">
        <v>160</v>
      </c>
      <c r="H700">
        <v>150</v>
      </c>
      <c r="I700">
        <v>38</v>
      </c>
      <c r="J700">
        <v>2</v>
      </c>
      <c r="K700">
        <v>73.664000000000001</v>
      </c>
    </row>
    <row r="701" spans="1:11">
      <c r="A701">
        <v>0.35930000000000001</v>
      </c>
      <c r="B701">
        <v>0.1227</v>
      </c>
      <c r="C701">
        <v>0.1741</v>
      </c>
      <c r="D701">
        <v>1.6899999999999998E-2</v>
      </c>
      <c r="E701">
        <v>0.17230000000000001</v>
      </c>
      <c r="F701">
        <v>0.1547</v>
      </c>
      <c r="G701">
        <v>120</v>
      </c>
      <c r="H701">
        <v>210</v>
      </c>
      <c r="I701">
        <v>34</v>
      </c>
      <c r="J701">
        <v>2</v>
      </c>
      <c r="K701">
        <v>43.116</v>
      </c>
    </row>
    <row r="702" spans="1:11">
      <c r="A702">
        <v>0.3095</v>
      </c>
      <c r="B702">
        <v>6.4000000000000001E-2</v>
      </c>
      <c r="C702">
        <v>0.27039999999999997</v>
      </c>
      <c r="D702">
        <v>1.0500000000000001E-2</v>
      </c>
      <c r="E702">
        <v>0.14879999999999999</v>
      </c>
      <c r="F702">
        <v>0.1968</v>
      </c>
      <c r="G702">
        <v>100</v>
      </c>
      <c r="H702">
        <v>150</v>
      </c>
      <c r="I702">
        <v>34</v>
      </c>
      <c r="J702">
        <v>2</v>
      </c>
      <c r="K702">
        <v>30.95</v>
      </c>
    </row>
    <row r="703" spans="1:11">
      <c r="A703">
        <v>0.42320000000000002</v>
      </c>
      <c r="B703">
        <v>9.1399999999999995E-2</v>
      </c>
      <c r="C703">
        <v>0.1163</v>
      </c>
      <c r="D703">
        <v>2.18E-2</v>
      </c>
      <c r="E703">
        <v>9.2899999999999996E-2</v>
      </c>
      <c r="F703">
        <v>0.25440000000000002</v>
      </c>
      <c r="G703">
        <v>100</v>
      </c>
      <c r="H703">
        <v>160</v>
      </c>
      <c r="I703">
        <v>33</v>
      </c>
      <c r="J703">
        <v>2</v>
      </c>
      <c r="K703">
        <v>42.32</v>
      </c>
    </row>
    <row r="704" spans="1:11">
      <c r="A704">
        <v>0.3826</v>
      </c>
      <c r="B704">
        <v>9.2100000000000001E-2</v>
      </c>
      <c r="C704">
        <v>3.8699999999999998E-2</v>
      </c>
      <c r="D704">
        <v>0</v>
      </c>
      <c r="E704">
        <v>0.31890000000000002</v>
      </c>
      <c r="F704">
        <v>0.1676</v>
      </c>
      <c r="G704">
        <v>80</v>
      </c>
      <c r="H704">
        <v>80</v>
      </c>
      <c r="I704">
        <v>42</v>
      </c>
      <c r="J704">
        <v>2</v>
      </c>
      <c r="K704">
        <v>30.608000000000001</v>
      </c>
    </row>
    <row r="705" spans="1:11">
      <c r="A705">
        <v>7.6999999999999999E-2</v>
      </c>
      <c r="B705">
        <v>3.9100000000000003E-2</v>
      </c>
      <c r="C705">
        <v>0.1991</v>
      </c>
      <c r="D705">
        <v>1.6400000000000001E-2</v>
      </c>
      <c r="E705">
        <v>0.2175</v>
      </c>
      <c r="F705">
        <v>0.45090000000000002</v>
      </c>
      <c r="G705">
        <v>190</v>
      </c>
      <c r="H705">
        <v>170</v>
      </c>
      <c r="I705">
        <v>39</v>
      </c>
      <c r="J705">
        <v>1</v>
      </c>
      <c r="K705">
        <v>14.63</v>
      </c>
    </row>
    <row r="706" spans="1:11">
      <c r="A706">
        <v>0.33040000000000003</v>
      </c>
      <c r="B706">
        <v>8.0100000000000005E-2</v>
      </c>
      <c r="C706">
        <v>2.3900000000000001E-2</v>
      </c>
      <c r="D706">
        <v>7.1999999999999998E-3</v>
      </c>
      <c r="E706">
        <v>8.7900000000000006E-2</v>
      </c>
      <c r="F706">
        <v>0.47049999999999997</v>
      </c>
      <c r="G706">
        <v>90</v>
      </c>
      <c r="H706">
        <v>130</v>
      </c>
      <c r="I706">
        <v>31</v>
      </c>
      <c r="J706">
        <v>2</v>
      </c>
      <c r="K706">
        <v>29.736000000000001</v>
      </c>
    </row>
    <row r="707" spans="1:11">
      <c r="A707">
        <v>0.39450000000000002</v>
      </c>
      <c r="B707">
        <v>0.1268</v>
      </c>
      <c r="C707">
        <v>2.1299999999999999E-2</v>
      </c>
      <c r="D707">
        <v>0.18179999999999999</v>
      </c>
      <c r="E707">
        <v>1.4200000000000001E-2</v>
      </c>
      <c r="F707">
        <v>0.26150000000000001</v>
      </c>
      <c r="G707">
        <v>70</v>
      </c>
      <c r="H707">
        <v>90</v>
      </c>
      <c r="I707">
        <v>32</v>
      </c>
      <c r="J707">
        <v>1</v>
      </c>
      <c r="K707">
        <v>27.614999999999998</v>
      </c>
    </row>
    <row r="708" spans="1:11">
      <c r="A708">
        <v>0.2051</v>
      </c>
      <c r="B708">
        <v>4.07E-2</v>
      </c>
      <c r="C708">
        <v>0.38419999999999999</v>
      </c>
      <c r="D708">
        <v>4.24E-2</v>
      </c>
      <c r="E708">
        <v>0.21029999999999999</v>
      </c>
      <c r="F708">
        <v>0.1172</v>
      </c>
      <c r="G708">
        <v>110</v>
      </c>
      <c r="H708">
        <v>140</v>
      </c>
      <c r="I708">
        <v>30</v>
      </c>
      <c r="J708">
        <v>1</v>
      </c>
      <c r="K708">
        <v>22.561</v>
      </c>
    </row>
    <row r="709" spans="1:11">
      <c r="A709">
        <v>0.38900000000000001</v>
      </c>
      <c r="B709">
        <v>3.8800000000000001E-2</v>
      </c>
      <c r="C709">
        <v>0.15909999999999999</v>
      </c>
      <c r="D709">
        <v>2E-3</v>
      </c>
      <c r="E709">
        <v>0.11849999999999999</v>
      </c>
      <c r="F709">
        <v>0.29260000000000003</v>
      </c>
      <c r="G709">
        <v>170</v>
      </c>
      <c r="H709">
        <v>150</v>
      </c>
      <c r="I709">
        <v>45</v>
      </c>
      <c r="J709">
        <v>1</v>
      </c>
      <c r="K709">
        <v>66.13</v>
      </c>
    </row>
    <row r="710" spans="1:11">
      <c r="A710">
        <v>0.43230000000000002</v>
      </c>
      <c r="B710">
        <v>0.1089</v>
      </c>
      <c r="C710">
        <v>3.2199999999999999E-2</v>
      </c>
      <c r="D710">
        <v>0.1134</v>
      </c>
      <c r="E710">
        <v>0.1361</v>
      </c>
      <c r="F710">
        <v>0.17710000000000001</v>
      </c>
      <c r="G710">
        <v>90</v>
      </c>
      <c r="H710">
        <v>160</v>
      </c>
      <c r="I710">
        <v>38</v>
      </c>
      <c r="J710">
        <v>2</v>
      </c>
      <c r="K710">
        <v>38.906999999999996</v>
      </c>
    </row>
    <row r="711" spans="1:11">
      <c r="A711">
        <v>0.5111</v>
      </c>
      <c r="B711">
        <v>0.1037</v>
      </c>
      <c r="C711">
        <v>5.79E-2</v>
      </c>
      <c r="D711">
        <v>4.8999999999999998E-3</v>
      </c>
      <c r="E711">
        <v>8.9700000000000002E-2</v>
      </c>
      <c r="F711">
        <v>0.23269999999999999</v>
      </c>
      <c r="G711">
        <v>70</v>
      </c>
      <c r="H711">
        <v>150</v>
      </c>
      <c r="I711">
        <v>38</v>
      </c>
      <c r="J711">
        <v>2</v>
      </c>
      <c r="K711">
        <v>35.777000000000001</v>
      </c>
    </row>
    <row r="712" spans="1:11">
      <c r="A712">
        <v>0.34920000000000001</v>
      </c>
      <c r="B712">
        <v>0.15890000000000001</v>
      </c>
      <c r="C712">
        <v>0.1565</v>
      </c>
      <c r="D712">
        <v>1.21E-2</v>
      </c>
      <c r="E712">
        <v>3.0000000000000001E-3</v>
      </c>
      <c r="F712">
        <v>0.32029999999999997</v>
      </c>
      <c r="G712">
        <v>80</v>
      </c>
      <c r="H712">
        <v>80</v>
      </c>
      <c r="I712">
        <v>28</v>
      </c>
      <c r="J712">
        <v>2</v>
      </c>
      <c r="K712">
        <v>27.936</v>
      </c>
    </row>
    <row r="713" spans="1:11">
      <c r="A713">
        <v>0.12790000000000001</v>
      </c>
      <c r="B713">
        <v>6.6199999999999995E-2</v>
      </c>
      <c r="C713">
        <v>5.6099999999999997E-2</v>
      </c>
      <c r="D713">
        <v>7.2099999999999997E-2</v>
      </c>
      <c r="E713">
        <v>0.41139999999999999</v>
      </c>
      <c r="F713">
        <v>0.26619999999999999</v>
      </c>
      <c r="G713">
        <v>110</v>
      </c>
      <c r="H713">
        <v>90</v>
      </c>
      <c r="I713">
        <v>25</v>
      </c>
      <c r="J713">
        <v>2</v>
      </c>
      <c r="K713">
        <v>14.069000000000001</v>
      </c>
    </row>
    <row r="714" spans="1:11">
      <c r="A714">
        <v>0.39850000000000002</v>
      </c>
      <c r="B714">
        <v>6.83E-2</v>
      </c>
      <c r="C714">
        <v>0.20430000000000001</v>
      </c>
      <c r="D714">
        <v>3.95E-2</v>
      </c>
      <c r="E714">
        <v>7.4999999999999997E-2</v>
      </c>
      <c r="F714">
        <v>0.2145</v>
      </c>
      <c r="G714">
        <v>110</v>
      </c>
      <c r="H714">
        <v>110</v>
      </c>
      <c r="I714">
        <v>28</v>
      </c>
      <c r="J714">
        <v>2</v>
      </c>
      <c r="K714">
        <v>43.835000000000001</v>
      </c>
    </row>
    <row r="715" spans="1:11">
      <c r="A715">
        <v>0.47660000000000002</v>
      </c>
      <c r="B715">
        <v>9.6500000000000002E-2</v>
      </c>
      <c r="C715">
        <v>7.1300000000000002E-2</v>
      </c>
      <c r="D715">
        <v>0.1391</v>
      </c>
      <c r="E715">
        <v>4.1300000000000003E-2</v>
      </c>
      <c r="F715">
        <v>0.17530000000000001</v>
      </c>
      <c r="G715">
        <v>60</v>
      </c>
      <c r="H715">
        <v>140</v>
      </c>
      <c r="I715">
        <v>33</v>
      </c>
      <c r="J715">
        <v>2</v>
      </c>
      <c r="K715">
        <v>28.596</v>
      </c>
    </row>
    <row r="716" spans="1:11">
      <c r="A716">
        <v>0.3876</v>
      </c>
      <c r="B716">
        <v>0.11070000000000001</v>
      </c>
      <c r="C716">
        <v>4.3E-3</v>
      </c>
      <c r="D716">
        <v>4.7800000000000002E-2</v>
      </c>
      <c r="E716">
        <v>0.19750000000000001</v>
      </c>
      <c r="F716">
        <v>0.25219999999999998</v>
      </c>
      <c r="G716">
        <v>90</v>
      </c>
      <c r="H716">
        <v>130</v>
      </c>
      <c r="I716">
        <v>32</v>
      </c>
      <c r="J716">
        <v>2</v>
      </c>
      <c r="K716">
        <v>34.884</v>
      </c>
    </row>
    <row r="717" spans="1:11">
      <c r="A717">
        <v>0.2218</v>
      </c>
      <c r="B717">
        <v>7.0999999999999994E-2</v>
      </c>
      <c r="C717">
        <v>0.19270000000000001</v>
      </c>
      <c r="D717">
        <v>0</v>
      </c>
      <c r="E717">
        <v>0.12559999999999999</v>
      </c>
      <c r="F717">
        <v>0.38879999999999998</v>
      </c>
      <c r="G717">
        <v>130</v>
      </c>
      <c r="H717">
        <v>220</v>
      </c>
      <c r="I717">
        <v>49</v>
      </c>
      <c r="J717">
        <v>1</v>
      </c>
      <c r="K717">
        <v>28.834</v>
      </c>
    </row>
    <row r="718" spans="1:11">
      <c r="A718">
        <v>0.46820000000000001</v>
      </c>
      <c r="B718">
        <v>0.1085</v>
      </c>
      <c r="C718">
        <v>0.1074</v>
      </c>
      <c r="D718">
        <v>0</v>
      </c>
      <c r="E718">
        <v>0.1094</v>
      </c>
      <c r="F718">
        <v>0.20660000000000001</v>
      </c>
      <c r="G718">
        <v>70</v>
      </c>
      <c r="H718">
        <v>130</v>
      </c>
      <c r="I718">
        <v>46</v>
      </c>
      <c r="J718">
        <v>2</v>
      </c>
      <c r="K718">
        <v>32.774000000000001</v>
      </c>
    </row>
    <row r="719" spans="1:11">
      <c r="A719">
        <v>0.26869999999999999</v>
      </c>
      <c r="B719">
        <v>4.0099999999999997E-2</v>
      </c>
      <c r="C719">
        <v>8.5400000000000004E-2</v>
      </c>
      <c r="D719">
        <v>6.7999999999999996E-3</v>
      </c>
      <c r="E719">
        <v>0.16320000000000001</v>
      </c>
      <c r="F719">
        <v>0.43580000000000002</v>
      </c>
      <c r="G719">
        <v>130</v>
      </c>
      <c r="H719">
        <v>210</v>
      </c>
      <c r="I719">
        <v>44</v>
      </c>
      <c r="J719">
        <v>2</v>
      </c>
      <c r="K719">
        <v>34.930999999999997</v>
      </c>
    </row>
    <row r="720" spans="1:11">
      <c r="A720">
        <v>0.35709999999999997</v>
      </c>
      <c r="B720">
        <v>4.1700000000000001E-2</v>
      </c>
      <c r="C720">
        <v>8.6099999999999996E-2</v>
      </c>
      <c r="D720">
        <v>0.2384</v>
      </c>
      <c r="E720">
        <v>7.7600000000000002E-2</v>
      </c>
      <c r="F720">
        <v>0.19919999999999999</v>
      </c>
      <c r="G720">
        <v>100</v>
      </c>
      <c r="H720">
        <v>170</v>
      </c>
      <c r="I720">
        <v>40</v>
      </c>
      <c r="J720">
        <v>2</v>
      </c>
      <c r="K720">
        <v>35.71</v>
      </c>
    </row>
    <row r="721" spans="1:11">
      <c r="A721">
        <v>0.54239999999999999</v>
      </c>
      <c r="B721">
        <v>0.14779999999999999</v>
      </c>
      <c r="C721">
        <v>0</v>
      </c>
      <c r="D721">
        <v>2.58E-2</v>
      </c>
      <c r="E721">
        <v>4.9299999999999997E-2</v>
      </c>
      <c r="F721">
        <v>0.2346</v>
      </c>
      <c r="G721">
        <v>60</v>
      </c>
      <c r="H721">
        <v>150</v>
      </c>
      <c r="I721">
        <v>36</v>
      </c>
      <c r="J721">
        <v>2</v>
      </c>
      <c r="K721">
        <v>32.543999999999997</v>
      </c>
    </row>
    <row r="722" spans="1:11">
      <c r="A722">
        <v>0.38190000000000002</v>
      </c>
      <c r="B722">
        <v>0.1721</v>
      </c>
      <c r="C722">
        <v>0</v>
      </c>
      <c r="D722">
        <v>3.5400000000000001E-2</v>
      </c>
      <c r="E722">
        <v>0.14080000000000001</v>
      </c>
      <c r="F722">
        <v>0.26989999999999997</v>
      </c>
      <c r="G722">
        <v>90</v>
      </c>
      <c r="H722">
        <v>160</v>
      </c>
      <c r="I722">
        <v>32</v>
      </c>
      <c r="J722">
        <v>2</v>
      </c>
      <c r="K722">
        <v>34.371000000000002</v>
      </c>
    </row>
    <row r="723" spans="1:11">
      <c r="A723">
        <v>0.38290000000000002</v>
      </c>
      <c r="B723">
        <v>8.2600000000000007E-2</v>
      </c>
      <c r="C723">
        <v>6.9099999999999995E-2</v>
      </c>
      <c r="D723">
        <v>0.10489999999999999</v>
      </c>
      <c r="E723">
        <v>0.23930000000000001</v>
      </c>
      <c r="F723">
        <v>0.1212</v>
      </c>
      <c r="G723">
        <v>90</v>
      </c>
      <c r="H723">
        <v>220</v>
      </c>
      <c r="I723">
        <v>40</v>
      </c>
      <c r="J723">
        <v>2</v>
      </c>
      <c r="K723">
        <v>34.460999999999999</v>
      </c>
    </row>
    <row r="724" spans="1:11">
      <c r="A724">
        <v>0.22539999999999999</v>
      </c>
      <c r="B724">
        <v>7.7200000000000005E-2</v>
      </c>
      <c r="C724">
        <v>0.14419999999999999</v>
      </c>
      <c r="D724">
        <v>2.1600000000000001E-2</v>
      </c>
      <c r="E724">
        <v>0.43719999999999998</v>
      </c>
      <c r="F724">
        <v>9.4399999999999998E-2</v>
      </c>
      <c r="G724">
        <v>90</v>
      </c>
      <c r="H724">
        <v>100</v>
      </c>
      <c r="I724">
        <v>34</v>
      </c>
      <c r="J724">
        <v>2</v>
      </c>
      <c r="K724">
        <v>20.286000000000001</v>
      </c>
    </row>
    <row r="725" spans="1:11">
      <c r="A725">
        <v>0.4335</v>
      </c>
      <c r="B725">
        <v>0.1103</v>
      </c>
      <c r="C725">
        <v>0.1295</v>
      </c>
      <c r="D725">
        <v>0</v>
      </c>
      <c r="E725">
        <v>0.13819999999999999</v>
      </c>
      <c r="F725">
        <v>0.18840000000000001</v>
      </c>
      <c r="G725">
        <v>110</v>
      </c>
      <c r="H725">
        <v>150</v>
      </c>
      <c r="I725">
        <v>36</v>
      </c>
      <c r="J725">
        <v>2</v>
      </c>
      <c r="K725">
        <v>47.685000000000002</v>
      </c>
    </row>
    <row r="726" spans="1:11">
      <c r="A726">
        <v>0.45100000000000001</v>
      </c>
      <c r="B726">
        <v>4.82E-2</v>
      </c>
      <c r="C726">
        <v>0</v>
      </c>
      <c r="D726">
        <v>0</v>
      </c>
      <c r="E726">
        <v>0.1739</v>
      </c>
      <c r="F726">
        <v>0.32690000000000002</v>
      </c>
      <c r="G726">
        <v>60</v>
      </c>
      <c r="H726">
        <v>200</v>
      </c>
      <c r="I726">
        <v>49</v>
      </c>
      <c r="J726">
        <v>1</v>
      </c>
      <c r="K726">
        <v>27.06</v>
      </c>
    </row>
    <row r="727" spans="1:11">
      <c r="A727">
        <v>0.17150000000000001</v>
      </c>
      <c r="B727">
        <v>9.1399999999999995E-2</v>
      </c>
      <c r="C727">
        <v>8.6E-3</v>
      </c>
      <c r="D727">
        <v>3.7000000000000002E-3</v>
      </c>
      <c r="E727">
        <v>0.55169999999999997</v>
      </c>
      <c r="F727">
        <v>0.1731</v>
      </c>
      <c r="G727">
        <v>80</v>
      </c>
      <c r="H727">
        <v>120</v>
      </c>
      <c r="I727">
        <v>38</v>
      </c>
      <c r="J727">
        <v>2</v>
      </c>
      <c r="K727">
        <v>13.72</v>
      </c>
    </row>
    <row r="728" spans="1:11">
      <c r="A728">
        <v>0.37119999999999997</v>
      </c>
      <c r="B728">
        <v>7.5600000000000001E-2</v>
      </c>
      <c r="C728">
        <v>0.1283</v>
      </c>
      <c r="D728">
        <v>0.1212</v>
      </c>
      <c r="E728">
        <v>0.11119999999999999</v>
      </c>
      <c r="F728">
        <v>0.1925</v>
      </c>
      <c r="G728">
        <v>140</v>
      </c>
      <c r="H728">
        <v>190</v>
      </c>
      <c r="I728">
        <v>42</v>
      </c>
      <c r="J728">
        <v>2</v>
      </c>
      <c r="K728">
        <v>51.968000000000004</v>
      </c>
    </row>
    <row r="729" spans="1:11">
      <c r="A729">
        <v>0.38190000000000002</v>
      </c>
      <c r="B729">
        <v>0.20019999999999999</v>
      </c>
      <c r="C729">
        <v>2.3099999999999999E-2</v>
      </c>
      <c r="D729">
        <v>3.7699999999999997E-2</v>
      </c>
      <c r="E729">
        <v>0.18240000000000001</v>
      </c>
      <c r="F729">
        <v>0.17460000000000001</v>
      </c>
      <c r="G729">
        <v>60</v>
      </c>
      <c r="H729">
        <v>90</v>
      </c>
      <c r="I729">
        <v>36</v>
      </c>
      <c r="J729">
        <v>2</v>
      </c>
      <c r="K729">
        <v>22.914000000000001</v>
      </c>
    </row>
    <row r="730" spans="1:11">
      <c r="A730">
        <v>0.37419999999999998</v>
      </c>
      <c r="B730">
        <v>0.1048</v>
      </c>
      <c r="C730">
        <v>1.72E-2</v>
      </c>
      <c r="D730">
        <v>0.1278</v>
      </c>
      <c r="E730">
        <v>9.8799999999999999E-2</v>
      </c>
      <c r="F730">
        <v>0.2772</v>
      </c>
      <c r="G730">
        <v>90</v>
      </c>
      <c r="H730">
        <v>120</v>
      </c>
      <c r="I730">
        <v>32</v>
      </c>
      <c r="J730">
        <v>2</v>
      </c>
      <c r="K730">
        <v>33.677999999999997</v>
      </c>
    </row>
    <row r="731" spans="1:11">
      <c r="A731">
        <v>0.3422</v>
      </c>
      <c r="B731">
        <v>8.8099999999999998E-2</v>
      </c>
      <c r="C731">
        <v>2.6700000000000002E-2</v>
      </c>
      <c r="D731">
        <v>2.0500000000000001E-2</v>
      </c>
      <c r="E731">
        <v>0.3155</v>
      </c>
      <c r="F731">
        <v>0.20699999999999999</v>
      </c>
      <c r="G731">
        <v>110</v>
      </c>
      <c r="H731">
        <v>240</v>
      </c>
      <c r="I731">
        <v>44</v>
      </c>
      <c r="J731">
        <v>2</v>
      </c>
      <c r="K731">
        <v>37.642000000000003</v>
      </c>
    </row>
    <row r="732" spans="1:11">
      <c r="A732">
        <v>0.33379999999999999</v>
      </c>
      <c r="B732">
        <v>0.18770000000000001</v>
      </c>
      <c r="C732">
        <v>6.2300000000000001E-2</v>
      </c>
      <c r="D732">
        <v>1.55E-2</v>
      </c>
      <c r="E732">
        <v>0.14169999999999999</v>
      </c>
      <c r="F732">
        <v>0.25890000000000002</v>
      </c>
      <c r="G732">
        <v>110</v>
      </c>
      <c r="H732">
        <v>210</v>
      </c>
      <c r="I732">
        <v>43</v>
      </c>
      <c r="J732">
        <v>1</v>
      </c>
      <c r="K732">
        <v>36.718000000000004</v>
      </c>
    </row>
    <row r="733" spans="1:11">
      <c r="A733">
        <v>0.34139999999999998</v>
      </c>
      <c r="B733">
        <v>9.6500000000000002E-2</v>
      </c>
      <c r="C733">
        <v>0.19819999999999999</v>
      </c>
      <c r="D733">
        <v>5.3E-3</v>
      </c>
      <c r="E733">
        <v>3.5999999999999999E-3</v>
      </c>
      <c r="F733">
        <v>0.35499999999999998</v>
      </c>
      <c r="G733">
        <v>170</v>
      </c>
      <c r="H733">
        <v>120</v>
      </c>
      <c r="I733">
        <v>37</v>
      </c>
      <c r="J733">
        <v>2</v>
      </c>
      <c r="K733">
        <v>58.037999999999997</v>
      </c>
    </row>
    <row r="734" spans="1:11">
      <c r="A734">
        <v>0.2177</v>
      </c>
      <c r="B734">
        <v>7.5999999999999998E-2</v>
      </c>
      <c r="C734">
        <v>8.5099999999999995E-2</v>
      </c>
      <c r="D734">
        <v>4.1599999999999998E-2</v>
      </c>
      <c r="E734">
        <v>0.48060000000000003</v>
      </c>
      <c r="F734">
        <v>9.9000000000000005E-2</v>
      </c>
      <c r="G734">
        <v>170</v>
      </c>
      <c r="H734">
        <v>110</v>
      </c>
      <c r="I734">
        <v>34</v>
      </c>
      <c r="J734">
        <v>2</v>
      </c>
      <c r="K734">
        <v>37.009</v>
      </c>
    </row>
    <row r="735" spans="1:11">
      <c r="A735">
        <v>0.39119999999999999</v>
      </c>
      <c r="B735">
        <v>9.0200000000000002E-2</v>
      </c>
      <c r="C735">
        <v>0.13020000000000001</v>
      </c>
      <c r="D735">
        <v>1.47E-2</v>
      </c>
      <c r="E735">
        <v>0.14149999999999999</v>
      </c>
      <c r="F735">
        <v>0.23219999999999999</v>
      </c>
      <c r="G735">
        <v>90</v>
      </c>
      <c r="H735">
        <v>110</v>
      </c>
      <c r="I735">
        <v>29</v>
      </c>
      <c r="J735">
        <v>2</v>
      </c>
      <c r="K735">
        <v>35.207999999999998</v>
      </c>
    </row>
    <row r="736" spans="1:11">
      <c r="A736">
        <v>0.35699999999999998</v>
      </c>
      <c r="B736">
        <v>4.7600000000000003E-2</v>
      </c>
      <c r="C736">
        <v>3.5299999999999998E-2</v>
      </c>
      <c r="D736">
        <v>7.6200000000000004E-2</v>
      </c>
      <c r="E736">
        <v>0.35460000000000003</v>
      </c>
      <c r="F736">
        <v>0.1293</v>
      </c>
      <c r="G736">
        <v>120</v>
      </c>
      <c r="H736">
        <v>110</v>
      </c>
      <c r="I736">
        <v>32</v>
      </c>
      <c r="J736">
        <v>1</v>
      </c>
      <c r="K736">
        <v>42.84</v>
      </c>
    </row>
    <row r="737" spans="1:11">
      <c r="A737">
        <v>0.48080000000000001</v>
      </c>
      <c r="B737">
        <v>7.22E-2</v>
      </c>
      <c r="C737">
        <v>0.10340000000000001</v>
      </c>
      <c r="D737">
        <v>2.4199999999999999E-2</v>
      </c>
      <c r="E737">
        <v>0.1744</v>
      </c>
      <c r="F737">
        <v>0.14499999999999999</v>
      </c>
      <c r="G737">
        <v>80</v>
      </c>
      <c r="H737">
        <v>130</v>
      </c>
      <c r="I737">
        <v>33</v>
      </c>
      <c r="J737">
        <v>2</v>
      </c>
      <c r="K737">
        <v>38.463999999999999</v>
      </c>
    </row>
    <row r="738" spans="1:11">
      <c r="A738">
        <v>0.46260000000000001</v>
      </c>
      <c r="B738">
        <v>0.08</v>
      </c>
      <c r="C738">
        <v>0.1111</v>
      </c>
      <c r="D738">
        <v>2.7E-2</v>
      </c>
      <c r="E738">
        <v>0.16420000000000001</v>
      </c>
      <c r="F738">
        <v>0.15509999999999999</v>
      </c>
      <c r="G738">
        <v>80</v>
      </c>
      <c r="H738">
        <v>130</v>
      </c>
      <c r="I738">
        <v>36</v>
      </c>
      <c r="J738">
        <v>1</v>
      </c>
      <c r="K738">
        <v>37.008000000000003</v>
      </c>
    </row>
    <row r="739" spans="1:11">
      <c r="A739">
        <v>0.4229</v>
      </c>
      <c r="B739">
        <v>6.4299999999999996E-2</v>
      </c>
      <c r="C739">
        <v>6.7799999999999999E-2</v>
      </c>
      <c r="D739">
        <v>0.12970000000000001</v>
      </c>
      <c r="E739">
        <v>3.1600000000000003E-2</v>
      </c>
      <c r="F739">
        <v>0.28360000000000002</v>
      </c>
      <c r="G739">
        <v>120</v>
      </c>
      <c r="H739">
        <v>180</v>
      </c>
      <c r="I739">
        <v>40</v>
      </c>
      <c r="J739">
        <v>2</v>
      </c>
      <c r="K739">
        <v>50.747999999999998</v>
      </c>
    </row>
    <row r="740" spans="1:11">
      <c r="A740">
        <v>0.30940000000000001</v>
      </c>
      <c r="B740">
        <v>9.9400000000000002E-2</v>
      </c>
      <c r="C740">
        <v>1.9699999999999999E-2</v>
      </c>
      <c r="D740">
        <v>0</v>
      </c>
      <c r="E740">
        <v>0.42959999999999998</v>
      </c>
      <c r="F740">
        <v>0.14180000000000001</v>
      </c>
      <c r="G740">
        <v>110</v>
      </c>
      <c r="H740">
        <v>130</v>
      </c>
      <c r="I740">
        <v>43</v>
      </c>
      <c r="J740">
        <v>2</v>
      </c>
      <c r="K740">
        <v>34.033999999999999</v>
      </c>
    </row>
    <row r="741" spans="1:11">
      <c r="A741">
        <v>0.21190000000000001</v>
      </c>
      <c r="B741">
        <v>8.7900000000000006E-2</v>
      </c>
      <c r="C741">
        <v>3.3700000000000001E-2</v>
      </c>
      <c r="D741">
        <v>2.3400000000000001E-2</v>
      </c>
      <c r="E741">
        <v>0.25359999999999999</v>
      </c>
      <c r="F741">
        <v>0.3896</v>
      </c>
      <c r="G741">
        <v>110</v>
      </c>
      <c r="H741">
        <v>220</v>
      </c>
      <c r="I741">
        <v>52</v>
      </c>
      <c r="J741">
        <v>1</v>
      </c>
      <c r="K741">
        <v>23.309000000000001</v>
      </c>
    </row>
    <row r="742" spans="1:11">
      <c r="A742">
        <v>0.49309999999999998</v>
      </c>
      <c r="B742">
        <v>0.1179</v>
      </c>
      <c r="C742">
        <v>4.7999999999999996E-3</v>
      </c>
      <c r="D742">
        <v>0</v>
      </c>
      <c r="E742">
        <v>0.21990000000000001</v>
      </c>
      <c r="F742">
        <v>0.1643</v>
      </c>
      <c r="G742">
        <v>60</v>
      </c>
      <c r="H742">
        <v>110</v>
      </c>
      <c r="I742">
        <v>36</v>
      </c>
      <c r="J742">
        <v>2</v>
      </c>
      <c r="K742">
        <v>29.585999999999999</v>
      </c>
    </row>
    <row r="743" spans="1:11">
      <c r="A743">
        <v>0.30170000000000002</v>
      </c>
      <c r="B743">
        <v>9.2899999999999996E-2</v>
      </c>
      <c r="C743">
        <v>0.16650000000000001</v>
      </c>
      <c r="D743">
        <v>5.8599999999999999E-2</v>
      </c>
      <c r="E743">
        <v>0.16200000000000001</v>
      </c>
      <c r="F743">
        <v>0.21820000000000001</v>
      </c>
      <c r="G743">
        <v>120</v>
      </c>
      <c r="H743">
        <v>120</v>
      </c>
      <c r="I743">
        <v>36</v>
      </c>
      <c r="J743">
        <v>2</v>
      </c>
      <c r="K743">
        <v>36.204000000000001</v>
      </c>
    </row>
    <row r="744" spans="1:11">
      <c r="A744">
        <v>0.47220000000000001</v>
      </c>
      <c r="B744">
        <v>0.191</v>
      </c>
      <c r="C744">
        <v>4.1599999999999998E-2</v>
      </c>
      <c r="D744">
        <v>2.1999999999999999E-2</v>
      </c>
      <c r="E744">
        <v>0.1072</v>
      </c>
      <c r="F744">
        <v>0.1661</v>
      </c>
      <c r="G744">
        <v>60</v>
      </c>
      <c r="H744">
        <v>90</v>
      </c>
      <c r="I744">
        <v>35</v>
      </c>
      <c r="J744">
        <v>2</v>
      </c>
      <c r="K744">
        <v>28.332000000000001</v>
      </c>
    </row>
    <row r="745" spans="1:11">
      <c r="A745">
        <v>0.2732</v>
      </c>
      <c r="B745">
        <v>9.3899999999999997E-2</v>
      </c>
      <c r="C745">
        <v>6.5600000000000006E-2</v>
      </c>
      <c r="D745">
        <v>4.9799999999999997E-2</v>
      </c>
      <c r="E745">
        <v>0.39050000000000001</v>
      </c>
      <c r="F745">
        <v>0.12709999999999999</v>
      </c>
      <c r="G745">
        <v>90</v>
      </c>
      <c r="H745">
        <v>200</v>
      </c>
      <c r="I745">
        <v>43</v>
      </c>
      <c r="J745">
        <v>2</v>
      </c>
      <c r="K745">
        <v>24.588000000000001</v>
      </c>
    </row>
    <row r="746" spans="1:11">
      <c r="A746">
        <v>0.309</v>
      </c>
      <c r="B746">
        <v>6.1499999999999999E-2</v>
      </c>
      <c r="C746">
        <v>0.1603</v>
      </c>
      <c r="D746">
        <v>9.0899999999999995E-2</v>
      </c>
      <c r="E746">
        <v>0.12330000000000001</v>
      </c>
      <c r="F746">
        <v>0.255</v>
      </c>
      <c r="G746">
        <v>90</v>
      </c>
      <c r="H746">
        <v>90</v>
      </c>
      <c r="I746">
        <v>38</v>
      </c>
      <c r="J746">
        <v>2</v>
      </c>
      <c r="K746">
        <v>27.81</v>
      </c>
    </row>
    <row r="747" spans="1:11">
      <c r="A747">
        <v>0.46949999999999997</v>
      </c>
      <c r="B747">
        <v>0.1164</v>
      </c>
      <c r="C747">
        <v>6.9800000000000001E-2</v>
      </c>
      <c r="D747">
        <v>0</v>
      </c>
      <c r="E747">
        <v>0.1862</v>
      </c>
      <c r="F747">
        <v>0.15809999999999999</v>
      </c>
      <c r="G747">
        <v>110</v>
      </c>
      <c r="H747">
        <v>70</v>
      </c>
      <c r="I747">
        <v>54</v>
      </c>
      <c r="J747">
        <v>2</v>
      </c>
      <c r="K747">
        <v>51.645000000000003</v>
      </c>
    </row>
    <row r="748" spans="1:11">
      <c r="A748">
        <v>0.30690000000000001</v>
      </c>
      <c r="B748">
        <v>0.33239999999999997</v>
      </c>
      <c r="C748">
        <v>0.02</v>
      </c>
      <c r="D748">
        <v>0</v>
      </c>
      <c r="E748">
        <v>8.2100000000000006E-2</v>
      </c>
      <c r="F748">
        <v>0.2586</v>
      </c>
      <c r="G748">
        <v>80</v>
      </c>
      <c r="H748">
        <v>100</v>
      </c>
      <c r="I748">
        <v>46</v>
      </c>
      <c r="J748">
        <v>1</v>
      </c>
      <c r="K748">
        <v>24.552</v>
      </c>
    </row>
    <row r="749" spans="1:11">
      <c r="A749">
        <v>0.3291</v>
      </c>
      <c r="B749">
        <v>7.8E-2</v>
      </c>
      <c r="C749">
        <v>9.0700000000000003E-2</v>
      </c>
      <c r="D749">
        <v>0</v>
      </c>
      <c r="E749">
        <v>0.187</v>
      </c>
      <c r="F749">
        <v>0.31519999999999998</v>
      </c>
      <c r="G749">
        <v>120</v>
      </c>
      <c r="H749">
        <v>200</v>
      </c>
      <c r="I749">
        <v>40</v>
      </c>
      <c r="J749">
        <v>2</v>
      </c>
      <c r="K749">
        <v>39.491999999999997</v>
      </c>
    </row>
    <row r="750" spans="1:11">
      <c r="A750">
        <v>0.46920000000000001</v>
      </c>
      <c r="B750">
        <v>9.2399999999999996E-2</v>
      </c>
      <c r="C750">
        <v>9.35E-2</v>
      </c>
      <c r="D750">
        <v>0.1</v>
      </c>
      <c r="E750">
        <v>5.1000000000000004E-3</v>
      </c>
      <c r="F750">
        <v>0.23980000000000001</v>
      </c>
      <c r="G750">
        <v>50</v>
      </c>
      <c r="H750">
        <v>80</v>
      </c>
      <c r="I750">
        <v>37</v>
      </c>
      <c r="J750">
        <v>1</v>
      </c>
      <c r="K750">
        <v>23.46</v>
      </c>
    </row>
    <row r="751" spans="1:11">
      <c r="A751">
        <v>0.31159999999999999</v>
      </c>
      <c r="B751">
        <v>6.1800000000000001E-2</v>
      </c>
      <c r="C751">
        <v>9.4700000000000006E-2</v>
      </c>
      <c r="D751">
        <v>0.1231</v>
      </c>
      <c r="E751">
        <v>0</v>
      </c>
      <c r="F751">
        <v>0.4088</v>
      </c>
      <c r="G751">
        <v>70</v>
      </c>
      <c r="H751">
        <v>340</v>
      </c>
      <c r="I751">
        <v>53</v>
      </c>
      <c r="J751">
        <v>1</v>
      </c>
      <c r="K751">
        <v>21.812000000000001</v>
      </c>
    </row>
    <row r="752" spans="1:11">
      <c r="A752">
        <v>0.26440000000000002</v>
      </c>
      <c r="B752">
        <v>3.85E-2</v>
      </c>
      <c r="C752">
        <v>9.8799999999999999E-2</v>
      </c>
      <c r="D752">
        <v>6.0699999999999997E-2</v>
      </c>
      <c r="E752">
        <v>0.25280000000000002</v>
      </c>
      <c r="F752">
        <v>0.28489999999999999</v>
      </c>
      <c r="G752">
        <v>160</v>
      </c>
      <c r="H752">
        <v>220</v>
      </c>
      <c r="I752">
        <v>38</v>
      </c>
      <c r="J752">
        <v>2</v>
      </c>
      <c r="K752">
        <v>42.304000000000002</v>
      </c>
    </row>
    <row r="753" spans="1:11">
      <c r="A753">
        <v>0.37469999999999998</v>
      </c>
      <c r="B753">
        <v>0.1457</v>
      </c>
      <c r="C753">
        <v>0.1147</v>
      </c>
      <c r="D753">
        <v>3.0700000000000002E-2</v>
      </c>
      <c r="E753">
        <v>9.1300000000000006E-2</v>
      </c>
      <c r="F753">
        <v>0.2427</v>
      </c>
      <c r="G753">
        <v>50</v>
      </c>
      <c r="H753">
        <v>80</v>
      </c>
      <c r="I753">
        <v>25</v>
      </c>
      <c r="J753">
        <v>1</v>
      </c>
      <c r="K753">
        <v>18.734999999999999</v>
      </c>
    </row>
    <row r="754" spans="1:11">
      <c r="A754">
        <v>0.41339999999999999</v>
      </c>
      <c r="B754">
        <v>5.1499999999999997E-2</v>
      </c>
      <c r="C754">
        <v>0.3009</v>
      </c>
      <c r="D754">
        <v>9.5699999999999993E-2</v>
      </c>
      <c r="E754">
        <v>3.5400000000000001E-2</v>
      </c>
      <c r="F754">
        <v>0.1031</v>
      </c>
      <c r="G754">
        <v>80</v>
      </c>
      <c r="H754">
        <v>60</v>
      </c>
      <c r="I754">
        <v>27</v>
      </c>
      <c r="J754">
        <v>1</v>
      </c>
      <c r="K754">
        <v>33.072000000000003</v>
      </c>
    </row>
    <row r="755" spans="1:11">
      <c r="A755">
        <v>0.34860000000000002</v>
      </c>
      <c r="B755">
        <v>6.0699999999999997E-2</v>
      </c>
      <c r="C755">
        <v>0.1472</v>
      </c>
      <c r="D755">
        <v>5.96E-2</v>
      </c>
      <c r="E755">
        <v>0.13539999999999999</v>
      </c>
      <c r="F755">
        <v>0.2485</v>
      </c>
      <c r="G755">
        <v>90</v>
      </c>
      <c r="H755">
        <v>110</v>
      </c>
      <c r="I755">
        <v>35</v>
      </c>
      <c r="J755">
        <v>2</v>
      </c>
      <c r="K755">
        <v>31.373999999999999</v>
      </c>
    </row>
    <row r="756" spans="1:11">
      <c r="A756">
        <v>0.26440000000000002</v>
      </c>
      <c r="B756">
        <v>5.9700000000000003E-2</v>
      </c>
      <c r="C756">
        <v>0.3911</v>
      </c>
      <c r="D756">
        <v>0</v>
      </c>
      <c r="E756">
        <v>0.192</v>
      </c>
      <c r="F756">
        <v>9.2799999999999994E-2</v>
      </c>
      <c r="G756">
        <v>130</v>
      </c>
      <c r="H756">
        <v>150</v>
      </c>
      <c r="I756">
        <v>50</v>
      </c>
      <c r="J756">
        <v>2</v>
      </c>
      <c r="K756">
        <v>34.372</v>
      </c>
    </row>
    <row r="757" spans="1:11">
      <c r="A757">
        <v>0.28939999999999999</v>
      </c>
      <c r="B757">
        <v>5.4300000000000001E-2</v>
      </c>
      <c r="C757">
        <v>0.1041</v>
      </c>
      <c r="D757">
        <v>5.45E-2</v>
      </c>
      <c r="E757">
        <v>0.13869999999999999</v>
      </c>
      <c r="F757">
        <v>0.35899999999999999</v>
      </c>
      <c r="G757">
        <v>90</v>
      </c>
      <c r="H757">
        <v>200</v>
      </c>
      <c r="I757">
        <v>38</v>
      </c>
      <c r="J757">
        <v>1</v>
      </c>
      <c r="K757">
        <v>26.045999999999999</v>
      </c>
    </row>
    <row r="758" spans="1:11">
      <c r="A758">
        <v>0.1981</v>
      </c>
      <c r="B758">
        <v>4.2700000000000002E-2</v>
      </c>
      <c r="C758">
        <v>2.7699999999999999E-2</v>
      </c>
      <c r="D758">
        <v>4.1599999999999998E-2</v>
      </c>
      <c r="E758">
        <v>0.35320000000000001</v>
      </c>
      <c r="F758">
        <v>0.3367</v>
      </c>
      <c r="G758">
        <v>300</v>
      </c>
      <c r="H758">
        <v>310</v>
      </c>
      <c r="I758">
        <v>37</v>
      </c>
      <c r="J758">
        <v>2</v>
      </c>
      <c r="K758">
        <v>59.43</v>
      </c>
    </row>
    <row r="759" spans="1:11">
      <c r="A759">
        <v>0.15160000000000001</v>
      </c>
      <c r="B759">
        <v>6.3700000000000007E-2</v>
      </c>
      <c r="C759">
        <v>0.18160000000000001</v>
      </c>
      <c r="D759">
        <v>4.4699999999999997E-2</v>
      </c>
      <c r="E759">
        <v>0.23669999999999999</v>
      </c>
      <c r="F759">
        <v>0.32169999999999999</v>
      </c>
      <c r="G759">
        <v>140</v>
      </c>
      <c r="H759">
        <v>180</v>
      </c>
      <c r="I759">
        <v>31</v>
      </c>
      <c r="J759">
        <v>1</v>
      </c>
      <c r="K759">
        <v>21.224</v>
      </c>
    </row>
    <row r="760" spans="1:11">
      <c r="A760">
        <v>0.37719999999999998</v>
      </c>
      <c r="B760">
        <v>3.1300000000000001E-2</v>
      </c>
      <c r="C760">
        <v>0.1376</v>
      </c>
      <c r="D760">
        <v>8.3799999999999999E-2</v>
      </c>
      <c r="E760">
        <v>1.0999999999999999E-2</v>
      </c>
      <c r="F760">
        <v>0.35899999999999999</v>
      </c>
      <c r="G760">
        <v>170</v>
      </c>
      <c r="H760">
        <v>630</v>
      </c>
      <c r="I760">
        <v>41</v>
      </c>
      <c r="J760">
        <v>2</v>
      </c>
      <c r="K760">
        <v>64.123999999999995</v>
      </c>
    </row>
    <row r="761" spans="1:11">
      <c r="A761">
        <v>0.50939999999999996</v>
      </c>
      <c r="B761">
        <v>0.1056</v>
      </c>
      <c r="C761">
        <v>3.9600000000000003E-2</v>
      </c>
      <c r="D761">
        <v>0</v>
      </c>
      <c r="E761">
        <v>0.15479999999999999</v>
      </c>
      <c r="F761">
        <v>0.19070000000000001</v>
      </c>
      <c r="G761">
        <v>90</v>
      </c>
      <c r="H761">
        <v>100</v>
      </c>
      <c r="I761">
        <v>46</v>
      </c>
      <c r="J761">
        <v>1</v>
      </c>
      <c r="K761">
        <v>45.845999999999997</v>
      </c>
    </row>
    <row r="762" spans="1:11">
      <c r="A762">
        <v>0.2707</v>
      </c>
      <c r="B762">
        <v>5.6899999999999999E-2</v>
      </c>
      <c r="C762">
        <v>2.8799999999999999E-2</v>
      </c>
      <c r="D762">
        <v>4.5199999999999997E-2</v>
      </c>
      <c r="E762">
        <v>0.13619999999999999</v>
      </c>
      <c r="F762">
        <v>0.46229999999999999</v>
      </c>
      <c r="G762">
        <v>60</v>
      </c>
      <c r="H762">
        <v>80</v>
      </c>
      <c r="I762">
        <v>24</v>
      </c>
      <c r="J762">
        <v>1</v>
      </c>
      <c r="K762">
        <v>16.242000000000001</v>
      </c>
    </row>
    <row r="763" spans="1:11">
      <c r="A763">
        <v>0.43959999999999999</v>
      </c>
      <c r="B763">
        <v>9.5500000000000002E-2</v>
      </c>
      <c r="C763">
        <v>7.4200000000000002E-2</v>
      </c>
      <c r="D763">
        <v>5.7099999999999998E-2</v>
      </c>
      <c r="E763">
        <v>4.8300000000000003E-2</v>
      </c>
      <c r="F763">
        <v>0.2853</v>
      </c>
      <c r="G763">
        <v>80</v>
      </c>
      <c r="H763">
        <v>90</v>
      </c>
      <c r="I763">
        <v>32</v>
      </c>
      <c r="J763">
        <v>2</v>
      </c>
      <c r="K763">
        <v>35.167999999999999</v>
      </c>
    </row>
    <row r="764" spans="1:11">
      <c r="A764">
        <v>0.3357</v>
      </c>
      <c r="B764">
        <v>0.1497</v>
      </c>
      <c r="C764">
        <v>0.127</v>
      </c>
      <c r="D764">
        <v>2.2800000000000001E-2</v>
      </c>
      <c r="E764">
        <v>0.11749999999999999</v>
      </c>
      <c r="F764">
        <v>0.24740000000000001</v>
      </c>
      <c r="G764">
        <v>50</v>
      </c>
      <c r="H764">
        <v>20</v>
      </c>
      <c r="I764">
        <v>25</v>
      </c>
      <c r="J764">
        <v>1</v>
      </c>
      <c r="K764">
        <v>16.785</v>
      </c>
    </row>
    <row r="765" spans="1:11">
      <c r="A765">
        <v>0.224</v>
      </c>
      <c r="B765">
        <v>5.3199999999999997E-2</v>
      </c>
      <c r="C765">
        <v>0</v>
      </c>
      <c r="D765">
        <v>3.6299999999999999E-2</v>
      </c>
      <c r="E765">
        <v>0.56210000000000004</v>
      </c>
      <c r="F765">
        <v>0.1244</v>
      </c>
      <c r="G765">
        <v>130</v>
      </c>
      <c r="H765">
        <v>150</v>
      </c>
      <c r="I765">
        <v>33</v>
      </c>
      <c r="J765">
        <v>2</v>
      </c>
      <c r="K765">
        <v>29.12</v>
      </c>
    </row>
    <row r="766" spans="1:11">
      <c r="A766">
        <v>0.45029999999999998</v>
      </c>
      <c r="B766">
        <v>0.10780000000000001</v>
      </c>
      <c r="C766">
        <v>6.1899999999999997E-2</v>
      </c>
      <c r="D766">
        <v>6.9599999999999995E-2</v>
      </c>
      <c r="E766">
        <v>0.1552</v>
      </c>
      <c r="F766">
        <v>0.15509999999999999</v>
      </c>
      <c r="G766">
        <v>60</v>
      </c>
      <c r="H766">
        <v>90</v>
      </c>
      <c r="I766">
        <v>35</v>
      </c>
      <c r="J766">
        <v>2</v>
      </c>
      <c r="K766">
        <v>27.018000000000001</v>
      </c>
    </row>
    <row r="767" spans="1:11">
      <c r="A767">
        <v>0.2651</v>
      </c>
      <c r="B767">
        <v>0.24490000000000001</v>
      </c>
      <c r="C767">
        <v>8.3199999999999996E-2</v>
      </c>
      <c r="D767">
        <v>3.4000000000000002E-2</v>
      </c>
      <c r="E767">
        <v>0.1153</v>
      </c>
      <c r="F767">
        <v>0.25750000000000001</v>
      </c>
      <c r="G767">
        <v>70</v>
      </c>
      <c r="H767">
        <v>140</v>
      </c>
      <c r="I767">
        <v>36</v>
      </c>
      <c r="J767">
        <v>2</v>
      </c>
      <c r="K767">
        <v>18.556999999999999</v>
      </c>
    </row>
    <row r="768" spans="1:11">
      <c r="A768">
        <v>0.42309999999999998</v>
      </c>
      <c r="B768">
        <v>5.9499999999999997E-2</v>
      </c>
      <c r="C768">
        <v>0.17519999999999999</v>
      </c>
      <c r="D768">
        <v>6.8500000000000005E-2</v>
      </c>
      <c r="E768">
        <v>5.9900000000000002E-2</v>
      </c>
      <c r="F768">
        <v>0.21390000000000001</v>
      </c>
      <c r="G768">
        <v>90</v>
      </c>
      <c r="H768">
        <v>160</v>
      </c>
      <c r="I768">
        <v>37</v>
      </c>
      <c r="J768">
        <v>2</v>
      </c>
      <c r="K768">
        <v>38.079000000000001</v>
      </c>
    </row>
    <row r="769" spans="1:11">
      <c r="A769">
        <v>0.45369999999999999</v>
      </c>
      <c r="B769">
        <v>8.4500000000000006E-2</v>
      </c>
      <c r="C769">
        <v>7.1999999999999998E-3</v>
      </c>
      <c r="D769">
        <v>4.5999999999999999E-2</v>
      </c>
      <c r="E769">
        <v>0.24160000000000001</v>
      </c>
      <c r="F769">
        <v>0.16700000000000001</v>
      </c>
      <c r="G769">
        <v>70</v>
      </c>
      <c r="H769">
        <v>140</v>
      </c>
      <c r="I769">
        <v>33</v>
      </c>
      <c r="J769">
        <v>2</v>
      </c>
      <c r="K769">
        <v>31.759</v>
      </c>
    </row>
    <row r="770" spans="1:11">
      <c r="A770">
        <v>0.59789999999999999</v>
      </c>
      <c r="B770">
        <v>0.13950000000000001</v>
      </c>
      <c r="C770">
        <v>0</v>
      </c>
      <c r="D770">
        <v>0.14649999999999999</v>
      </c>
      <c r="E770">
        <v>4.3E-3</v>
      </c>
      <c r="F770">
        <v>0.1118</v>
      </c>
      <c r="G770">
        <v>80</v>
      </c>
      <c r="H770">
        <v>130</v>
      </c>
      <c r="I770">
        <v>30</v>
      </c>
      <c r="J770">
        <v>2</v>
      </c>
      <c r="K770">
        <v>47.832000000000001</v>
      </c>
    </row>
    <row r="771" spans="1:11">
      <c r="A771">
        <v>0.34239999999999998</v>
      </c>
      <c r="B771">
        <v>7.2999999999999995E-2</v>
      </c>
      <c r="C771">
        <v>0.28050000000000003</v>
      </c>
      <c r="D771">
        <v>5.04E-2</v>
      </c>
      <c r="E771">
        <v>7.0300000000000001E-2</v>
      </c>
      <c r="F771">
        <v>0.18329999999999999</v>
      </c>
      <c r="G771">
        <v>110</v>
      </c>
      <c r="H771">
        <v>140</v>
      </c>
      <c r="I771">
        <v>45</v>
      </c>
      <c r="J771">
        <v>2</v>
      </c>
      <c r="K771">
        <v>37.664000000000001</v>
      </c>
    </row>
    <row r="772" spans="1:11">
      <c r="A772">
        <v>0.24060000000000001</v>
      </c>
      <c r="B772">
        <v>8.7499999999999994E-2</v>
      </c>
      <c r="C772">
        <v>0.16719999999999999</v>
      </c>
      <c r="D772">
        <v>8.1000000000000003E-2</v>
      </c>
      <c r="E772">
        <v>0.16819999999999999</v>
      </c>
      <c r="F772">
        <v>0.2555</v>
      </c>
      <c r="G772">
        <v>100</v>
      </c>
      <c r="H772">
        <v>110</v>
      </c>
      <c r="I772">
        <v>36</v>
      </c>
      <c r="J772">
        <v>1</v>
      </c>
      <c r="K772">
        <v>24.06</v>
      </c>
    </row>
    <row r="773" spans="1:11">
      <c r="A773">
        <v>0.40970000000000001</v>
      </c>
      <c r="B773">
        <v>0.20230000000000001</v>
      </c>
      <c r="C773">
        <v>8.0999999999999996E-3</v>
      </c>
      <c r="D773">
        <v>4.3099999999999999E-2</v>
      </c>
      <c r="E773">
        <v>9.8500000000000004E-2</v>
      </c>
      <c r="F773">
        <v>0.2382</v>
      </c>
      <c r="G773">
        <v>120</v>
      </c>
      <c r="H773">
        <v>130</v>
      </c>
      <c r="I773">
        <v>38</v>
      </c>
      <c r="J773">
        <v>2</v>
      </c>
      <c r="K773">
        <v>49.164000000000001</v>
      </c>
    </row>
    <row r="774" spans="1:11">
      <c r="A774">
        <v>0.40410000000000001</v>
      </c>
      <c r="B774">
        <v>0.1017</v>
      </c>
      <c r="C774">
        <v>0.13569999999999999</v>
      </c>
      <c r="D774">
        <v>0</v>
      </c>
      <c r="E774">
        <v>0.1077</v>
      </c>
      <c r="F774">
        <v>0.25080000000000002</v>
      </c>
      <c r="G774">
        <v>90</v>
      </c>
      <c r="H774">
        <v>180</v>
      </c>
      <c r="I774">
        <v>43</v>
      </c>
      <c r="J774">
        <v>2</v>
      </c>
      <c r="K774">
        <v>36.369</v>
      </c>
    </row>
    <row r="775" spans="1:11">
      <c r="A775">
        <v>0.44209999999999999</v>
      </c>
      <c r="B775">
        <v>9.3399999999999997E-2</v>
      </c>
      <c r="C775">
        <v>3.4799999999999998E-2</v>
      </c>
      <c r="D775">
        <v>2.93E-2</v>
      </c>
      <c r="E775">
        <v>0.1236</v>
      </c>
      <c r="F775">
        <v>0.27689999999999998</v>
      </c>
      <c r="G775">
        <v>60</v>
      </c>
      <c r="H775">
        <v>90</v>
      </c>
      <c r="I775">
        <v>29</v>
      </c>
      <c r="J775">
        <v>2</v>
      </c>
      <c r="K775">
        <v>26.526</v>
      </c>
    </row>
    <row r="776" spans="1:11">
      <c r="A776">
        <v>0.44500000000000001</v>
      </c>
      <c r="B776">
        <v>3.8899999999999997E-2</v>
      </c>
      <c r="C776">
        <v>0.1628</v>
      </c>
      <c r="D776">
        <v>0</v>
      </c>
      <c r="E776">
        <v>0.15629999999999999</v>
      </c>
      <c r="F776">
        <v>0.19689999999999999</v>
      </c>
      <c r="G776">
        <v>100</v>
      </c>
      <c r="H776">
        <v>130</v>
      </c>
      <c r="I776">
        <v>45</v>
      </c>
      <c r="J776">
        <v>2</v>
      </c>
      <c r="K776">
        <v>44.5</v>
      </c>
    </row>
    <row r="777" spans="1:11">
      <c r="A777">
        <v>0.29980000000000001</v>
      </c>
      <c r="B777">
        <v>0.1014</v>
      </c>
      <c r="C777">
        <v>0.37209999999999999</v>
      </c>
      <c r="D777">
        <v>4.3099999999999999E-2</v>
      </c>
      <c r="E777">
        <v>4.5600000000000002E-2</v>
      </c>
      <c r="F777">
        <v>0.13800000000000001</v>
      </c>
      <c r="G777">
        <v>80</v>
      </c>
      <c r="H777">
        <v>60</v>
      </c>
      <c r="I777">
        <v>22</v>
      </c>
      <c r="J777">
        <v>1</v>
      </c>
      <c r="K777">
        <v>23.984000000000002</v>
      </c>
    </row>
    <row r="778" spans="1:11">
      <c r="A778">
        <v>0.503</v>
      </c>
      <c r="B778">
        <v>0.13869999999999999</v>
      </c>
      <c r="C778">
        <v>6.25E-2</v>
      </c>
      <c r="D778">
        <v>0.1003</v>
      </c>
      <c r="E778">
        <v>1.6500000000000001E-2</v>
      </c>
      <c r="F778">
        <v>0.1789</v>
      </c>
      <c r="G778">
        <v>180</v>
      </c>
      <c r="H778">
        <v>240</v>
      </c>
      <c r="I778">
        <v>36</v>
      </c>
      <c r="J778">
        <v>2</v>
      </c>
      <c r="K778">
        <v>90.54</v>
      </c>
    </row>
    <row r="779" spans="1:11">
      <c r="A779">
        <v>0.3947</v>
      </c>
      <c r="B779">
        <v>7.85E-2</v>
      </c>
      <c r="C779">
        <v>0.1381</v>
      </c>
      <c r="D779">
        <v>3.5000000000000003E-2</v>
      </c>
      <c r="E779">
        <v>1.0699999999999999E-2</v>
      </c>
      <c r="F779">
        <v>0.34289999999999998</v>
      </c>
      <c r="G779">
        <v>110</v>
      </c>
      <c r="H779">
        <v>130</v>
      </c>
      <c r="I779">
        <v>36</v>
      </c>
      <c r="J779">
        <v>2</v>
      </c>
      <c r="K779">
        <v>43.417000000000002</v>
      </c>
    </row>
    <row r="780" spans="1:11">
      <c r="A780">
        <v>0.438</v>
      </c>
      <c r="B780">
        <v>0.12959999999999999</v>
      </c>
      <c r="C780">
        <v>0.1706</v>
      </c>
      <c r="D780">
        <v>7.5600000000000001E-2</v>
      </c>
      <c r="E780">
        <v>0.1061</v>
      </c>
      <c r="F780">
        <v>0.08</v>
      </c>
      <c r="G780">
        <v>90</v>
      </c>
      <c r="H780">
        <v>70</v>
      </c>
      <c r="I780">
        <v>27</v>
      </c>
      <c r="J780">
        <v>2</v>
      </c>
      <c r="K780">
        <v>39.42</v>
      </c>
    </row>
    <row r="781" spans="1:11">
      <c r="A781">
        <v>0.373</v>
      </c>
      <c r="B781">
        <v>6.2700000000000006E-2</v>
      </c>
      <c r="C781">
        <v>0</v>
      </c>
      <c r="D781">
        <v>0</v>
      </c>
      <c r="E781">
        <v>0.2838</v>
      </c>
      <c r="F781">
        <v>0.28039999999999998</v>
      </c>
      <c r="G781">
        <v>50</v>
      </c>
      <c r="H781">
        <v>70</v>
      </c>
      <c r="I781">
        <v>28</v>
      </c>
      <c r="J781">
        <v>1</v>
      </c>
      <c r="K781">
        <v>18.649999999999999</v>
      </c>
    </row>
    <row r="782" spans="1:11">
      <c r="A782">
        <v>0.30049999999999999</v>
      </c>
      <c r="B782">
        <v>2.5000000000000001E-2</v>
      </c>
      <c r="C782">
        <v>4.0300000000000002E-2</v>
      </c>
      <c r="D782">
        <v>4.4600000000000001E-2</v>
      </c>
      <c r="E782">
        <v>0.15160000000000001</v>
      </c>
      <c r="F782">
        <v>0.438</v>
      </c>
      <c r="G782">
        <v>100</v>
      </c>
      <c r="H782">
        <v>120</v>
      </c>
      <c r="I782">
        <v>37</v>
      </c>
      <c r="J782">
        <v>2</v>
      </c>
      <c r="K782">
        <v>30.05</v>
      </c>
    </row>
    <row r="783" spans="1:11">
      <c r="A783">
        <v>0.37240000000000001</v>
      </c>
      <c r="B783">
        <v>5.6000000000000001E-2</v>
      </c>
      <c r="C783">
        <v>0.13969999999999999</v>
      </c>
      <c r="D783">
        <v>2.4299999999999999E-2</v>
      </c>
      <c r="E783">
        <v>0.26329999999999998</v>
      </c>
      <c r="F783">
        <v>0.14430000000000001</v>
      </c>
      <c r="G783">
        <v>120</v>
      </c>
      <c r="H783">
        <v>160</v>
      </c>
      <c r="I783">
        <v>34</v>
      </c>
      <c r="J783">
        <v>2</v>
      </c>
      <c r="K783">
        <v>44.688000000000002</v>
      </c>
    </row>
    <row r="784" spans="1:11">
      <c r="A784">
        <v>0.30320000000000003</v>
      </c>
      <c r="B784">
        <v>6.4899999999999999E-2</v>
      </c>
      <c r="C784">
        <v>9.8500000000000004E-2</v>
      </c>
      <c r="D784">
        <v>0.1331</v>
      </c>
      <c r="E784">
        <v>0.1535</v>
      </c>
      <c r="F784">
        <v>0.24679999999999999</v>
      </c>
      <c r="G784">
        <v>150</v>
      </c>
      <c r="H784">
        <v>300</v>
      </c>
      <c r="I784">
        <v>32</v>
      </c>
      <c r="J784">
        <v>2</v>
      </c>
      <c r="K784">
        <v>45.48</v>
      </c>
    </row>
    <row r="785" spans="1:11">
      <c r="A785">
        <v>0.32579999999999998</v>
      </c>
      <c r="B785">
        <v>6.7400000000000002E-2</v>
      </c>
      <c r="C785">
        <v>0.30930000000000002</v>
      </c>
      <c r="D785">
        <v>0</v>
      </c>
      <c r="E785">
        <v>0.14599999999999999</v>
      </c>
      <c r="F785">
        <v>0.15160000000000001</v>
      </c>
      <c r="G785">
        <v>80</v>
      </c>
      <c r="H785">
        <v>120</v>
      </c>
      <c r="I785">
        <v>33</v>
      </c>
      <c r="J785">
        <v>2</v>
      </c>
      <c r="K785">
        <v>26.064</v>
      </c>
    </row>
    <row r="786" spans="1:11">
      <c r="A786">
        <v>0.37380000000000002</v>
      </c>
      <c r="B786">
        <v>5.6099999999999997E-2</v>
      </c>
      <c r="C786">
        <v>0.2034</v>
      </c>
      <c r="D786">
        <v>0</v>
      </c>
      <c r="E786">
        <v>1E-3</v>
      </c>
      <c r="F786">
        <v>0.36570000000000003</v>
      </c>
      <c r="G786">
        <v>100</v>
      </c>
      <c r="H786">
        <v>150</v>
      </c>
      <c r="I786">
        <v>39</v>
      </c>
      <c r="J786">
        <v>2</v>
      </c>
      <c r="K786">
        <v>37.380000000000003</v>
      </c>
    </row>
    <row r="787" spans="1:11">
      <c r="A787">
        <v>0.37740000000000001</v>
      </c>
      <c r="B787">
        <v>7.3999999999999996E-2</v>
      </c>
      <c r="C787">
        <v>6.8900000000000003E-2</v>
      </c>
      <c r="D787">
        <v>5.9299999999999999E-2</v>
      </c>
      <c r="E787">
        <v>0.17449999999999999</v>
      </c>
      <c r="F787">
        <v>0.24590000000000001</v>
      </c>
      <c r="G787">
        <v>80</v>
      </c>
      <c r="H787">
        <v>160</v>
      </c>
      <c r="I787">
        <v>32</v>
      </c>
      <c r="J787">
        <v>2</v>
      </c>
      <c r="K787">
        <v>30.192</v>
      </c>
    </row>
    <row r="788" spans="1:11">
      <c r="A788">
        <v>0.4214</v>
      </c>
      <c r="B788">
        <v>7.4099999999999999E-2</v>
      </c>
      <c r="C788">
        <v>0.11260000000000001</v>
      </c>
      <c r="D788">
        <v>0.14349999999999999</v>
      </c>
      <c r="E788">
        <v>0.1009</v>
      </c>
      <c r="F788">
        <v>0.14749999999999999</v>
      </c>
      <c r="G788">
        <v>120</v>
      </c>
      <c r="H788">
        <v>200</v>
      </c>
      <c r="I788">
        <v>30</v>
      </c>
      <c r="J788">
        <v>2</v>
      </c>
      <c r="K788">
        <v>50.567999999999998</v>
      </c>
    </row>
    <row r="789" spans="1:11">
      <c r="A789">
        <v>0.16520000000000001</v>
      </c>
      <c r="B789">
        <v>0.10580000000000001</v>
      </c>
      <c r="C789">
        <v>0.2445</v>
      </c>
      <c r="D789">
        <v>6.9199999999999998E-2</v>
      </c>
      <c r="E789">
        <v>0.1938</v>
      </c>
      <c r="F789">
        <v>0.22140000000000001</v>
      </c>
      <c r="G789">
        <v>60</v>
      </c>
      <c r="H789">
        <v>150</v>
      </c>
      <c r="I789">
        <v>38</v>
      </c>
      <c r="J789">
        <v>2</v>
      </c>
      <c r="K789">
        <v>9.9120000000000008</v>
      </c>
    </row>
    <row r="790" spans="1:11">
      <c r="A790">
        <v>0.30730000000000002</v>
      </c>
      <c r="B790">
        <v>2.4299999999999999E-2</v>
      </c>
      <c r="C790">
        <v>1.95E-2</v>
      </c>
      <c r="D790">
        <v>0.3347</v>
      </c>
      <c r="E790">
        <v>3.5700000000000003E-2</v>
      </c>
      <c r="F790">
        <v>0.27850000000000003</v>
      </c>
      <c r="G790">
        <v>100</v>
      </c>
      <c r="H790">
        <v>70</v>
      </c>
      <c r="I790">
        <v>20</v>
      </c>
      <c r="J790">
        <v>1</v>
      </c>
      <c r="K790">
        <v>30.73</v>
      </c>
    </row>
    <row r="791" spans="1:11">
      <c r="A791">
        <v>0.40820000000000001</v>
      </c>
      <c r="B791">
        <v>0.05</v>
      </c>
      <c r="C791">
        <v>2.3699999999999999E-2</v>
      </c>
      <c r="D791">
        <v>0</v>
      </c>
      <c r="E791">
        <v>0.1043</v>
      </c>
      <c r="F791">
        <v>0.4138</v>
      </c>
      <c r="G791">
        <v>80</v>
      </c>
      <c r="H791">
        <v>80</v>
      </c>
      <c r="I791">
        <v>29</v>
      </c>
      <c r="J791">
        <v>1</v>
      </c>
      <c r="K791">
        <v>32.655999999999999</v>
      </c>
    </row>
    <row r="792" spans="1:11">
      <c r="A792">
        <v>0.40339999999999998</v>
      </c>
      <c r="B792">
        <v>0.1037</v>
      </c>
      <c r="C792">
        <v>4.3999999999999997E-2</v>
      </c>
      <c r="D792">
        <v>0.20250000000000001</v>
      </c>
      <c r="E792">
        <v>5.4999999999999997E-3</v>
      </c>
      <c r="F792">
        <v>0.2409</v>
      </c>
      <c r="G792">
        <v>80</v>
      </c>
      <c r="H792">
        <v>110</v>
      </c>
      <c r="I792">
        <v>35</v>
      </c>
      <c r="J792">
        <v>2</v>
      </c>
      <c r="K792">
        <v>32.271999999999998</v>
      </c>
    </row>
    <row r="793" spans="1:11">
      <c r="A793">
        <v>0.29360000000000003</v>
      </c>
      <c r="B793">
        <v>7.7799999999999994E-2</v>
      </c>
      <c r="C793">
        <v>0.26729999999999998</v>
      </c>
      <c r="D793">
        <v>6.7999999999999996E-3</v>
      </c>
      <c r="E793">
        <v>0.1835</v>
      </c>
      <c r="F793">
        <v>0.1709</v>
      </c>
      <c r="G793">
        <v>90</v>
      </c>
      <c r="H793">
        <v>140</v>
      </c>
      <c r="I793">
        <v>54</v>
      </c>
      <c r="J793">
        <v>1</v>
      </c>
      <c r="K793">
        <v>26.423999999999999</v>
      </c>
    </row>
    <row r="794" spans="1:11">
      <c r="A794">
        <v>0.30669999999999997</v>
      </c>
      <c r="B794">
        <v>8.8099999999999998E-2</v>
      </c>
      <c r="C794">
        <v>8.3000000000000001E-3</v>
      </c>
      <c r="D794">
        <v>4.4900000000000002E-2</v>
      </c>
      <c r="E794">
        <v>0.27210000000000001</v>
      </c>
      <c r="F794">
        <v>0.27989999999999998</v>
      </c>
      <c r="G794">
        <v>90</v>
      </c>
      <c r="H794">
        <v>80</v>
      </c>
      <c r="I794">
        <v>35</v>
      </c>
      <c r="J794">
        <v>2</v>
      </c>
      <c r="K794">
        <v>27.603000000000002</v>
      </c>
    </row>
    <row r="795" spans="1:11">
      <c r="A795">
        <v>0.36670000000000003</v>
      </c>
      <c r="B795">
        <v>7.2800000000000004E-2</v>
      </c>
      <c r="C795">
        <v>5.7000000000000002E-2</v>
      </c>
      <c r="D795">
        <v>0.13650000000000001</v>
      </c>
      <c r="E795">
        <v>7.4800000000000005E-2</v>
      </c>
      <c r="F795">
        <v>0.29210000000000003</v>
      </c>
      <c r="G795">
        <v>90</v>
      </c>
      <c r="H795">
        <v>130</v>
      </c>
      <c r="I795">
        <v>31</v>
      </c>
      <c r="J795">
        <v>2</v>
      </c>
      <c r="K795">
        <v>33.003</v>
      </c>
    </row>
    <row r="796" spans="1:11">
      <c r="A796">
        <v>0.33589999999999998</v>
      </c>
      <c r="B796">
        <v>8.3900000000000002E-2</v>
      </c>
      <c r="C796">
        <v>0</v>
      </c>
      <c r="D796">
        <v>2.1999999999999999E-2</v>
      </c>
      <c r="E796">
        <v>0.15509999999999999</v>
      </c>
      <c r="F796">
        <v>0.40300000000000002</v>
      </c>
      <c r="G796">
        <v>60</v>
      </c>
      <c r="H796">
        <v>100</v>
      </c>
      <c r="I796">
        <v>37</v>
      </c>
      <c r="J796">
        <v>2</v>
      </c>
      <c r="K796">
        <v>20.154</v>
      </c>
    </row>
    <row r="797" spans="1:11">
      <c r="A797">
        <v>0.36059999999999998</v>
      </c>
      <c r="B797">
        <v>5.8000000000000003E-2</v>
      </c>
      <c r="C797">
        <v>5.4600000000000003E-2</v>
      </c>
      <c r="D797">
        <v>7.0999999999999994E-2</v>
      </c>
      <c r="E797">
        <v>0.3594</v>
      </c>
      <c r="F797">
        <v>9.6299999999999997E-2</v>
      </c>
      <c r="G797">
        <v>100</v>
      </c>
      <c r="H797">
        <v>160</v>
      </c>
      <c r="I797">
        <v>49</v>
      </c>
      <c r="J797">
        <v>1</v>
      </c>
      <c r="K797">
        <v>36.06</v>
      </c>
    </row>
    <row r="798" spans="1:11">
      <c r="A798">
        <v>0.30230000000000001</v>
      </c>
      <c r="B798">
        <v>5.4199999999999998E-2</v>
      </c>
      <c r="C798">
        <v>1.0999999999999999E-2</v>
      </c>
      <c r="D798">
        <v>4.2900000000000001E-2</v>
      </c>
      <c r="E798">
        <v>4.2700000000000002E-2</v>
      </c>
      <c r="F798">
        <v>0.54690000000000005</v>
      </c>
      <c r="G798">
        <v>80</v>
      </c>
      <c r="H798">
        <v>200</v>
      </c>
      <c r="I798">
        <v>27</v>
      </c>
      <c r="J798">
        <v>1</v>
      </c>
      <c r="K798">
        <v>24.184000000000001</v>
      </c>
    </row>
    <row r="799" spans="1:11">
      <c r="A799">
        <v>0.40510000000000002</v>
      </c>
      <c r="B799">
        <v>6.3E-2</v>
      </c>
      <c r="C799">
        <v>0.2702</v>
      </c>
      <c r="D799">
        <v>2.5700000000000001E-2</v>
      </c>
      <c r="E799">
        <v>0.1069</v>
      </c>
      <c r="F799">
        <v>0.12909999999999999</v>
      </c>
      <c r="G799">
        <v>90</v>
      </c>
      <c r="H799">
        <v>150</v>
      </c>
      <c r="I799">
        <v>39</v>
      </c>
      <c r="J799">
        <v>1</v>
      </c>
      <c r="K799">
        <v>36.459000000000003</v>
      </c>
    </row>
    <row r="800" spans="1:11">
      <c r="A800">
        <v>0.2203</v>
      </c>
      <c r="B800">
        <v>1.6500000000000001E-2</v>
      </c>
      <c r="C800">
        <v>0.35189999999999999</v>
      </c>
      <c r="D800">
        <v>7.8E-2</v>
      </c>
      <c r="E800">
        <v>9.6299999999999997E-2</v>
      </c>
      <c r="F800">
        <v>0.23699999999999999</v>
      </c>
      <c r="G800">
        <v>170</v>
      </c>
      <c r="H800">
        <v>200</v>
      </c>
      <c r="I800">
        <v>36</v>
      </c>
      <c r="J800">
        <v>2</v>
      </c>
      <c r="K800">
        <v>37.451000000000001</v>
      </c>
    </row>
    <row r="801" spans="1:11">
      <c r="A801">
        <v>0.35270000000000001</v>
      </c>
      <c r="B801">
        <v>7.1900000000000006E-2</v>
      </c>
      <c r="C801">
        <v>0.1101</v>
      </c>
      <c r="D801">
        <v>7.3099999999999998E-2</v>
      </c>
      <c r="E801">
        <v>0.1037</v>
      </c>
      <c r="F801">
        <v>0.28849999999999998</v>
      </c>
      <c r="G801">
        <v>90</v>
      </c>
      <c r="H801">
        <v>150</v>
      </c>
      <c r="I801">
        <v>53</v>
      </c>
      <c r="J801">
        <v>2</v>
      </c>
      <c r="K801">
        <v>31.742999999999999</v>
      </c>
    </row>
    <row r="802" spans="1:11">
      <c r="A802">
        <v>0.31680000000000003</v>
      </c>
      <c r="B802">
        <v>3.8800000000000001E-2</v>
      </c>
      <c r="C802">
        <v>7.9000000000000008E-3</v>
      </c>
      <c r="D802">
        <v>0</v>
      </c>
      <c r="E802">
        <v>0.51580000000000004</v>
      </c>
      <c r="F802">
        <v>0.1207</v>
      </c>
      <c r="G802">
        <v>100</v>
      </c>
      <c r="H802">
        <v>270</v>
      </c>
      <c r="I802">
        <v>35</v>
      </c>
      <c r="J802">
        <v>2</v>
      </c>
      <c r="K802">
        <v>31.68</v>
      </c>
    </row>
    <row r="803" spans="1:11">
      <c r="A803">
        <v>0.38059999999999999</v>
      </c>
      <c r="B803">
        <v>6.7299999999999999E-2</v>
      </c>
      <c r="C803">
        <v>0.107</v>
      </c>
      <c r="D803">
        <v>1.3100000000000001E-2</v>
      </c>
      <c r="E803">
        <v>0.16120000000000001</v>
      </c>
      <c r="F803">
        <v>0.2707</v>
      </c>
      <c r="G803">
        <v>70</v>
      </c>
      <c r="H803">
        <v>100</v>
      </c>
      <c r="I803">
        <v>35</v>
      </c>
      <c r="J803">
        <v>2</v>
      </c>
      <c r="K803">
        <v>26.641999999999999</v>
      </c>
    </row>
    <row r="804" spans="1:11">
      <c r="A804">
        <v>0.45550000000000002</v>
      </c>
      <c r="B804">
        <v>8.0699999999999994E-2</v>
      </c>
      <c r="C804">
        <v>9.4399999999999998E-2</v>
      </c>
      <c r="D804">
        <v>8.5800000000000001E-2</v>
      </c>
      <c r="E804">
        <v>5.4999999999999997E-3</v>
      </c>
      <c r="F804">
        <v>0.2782</v>
      </c>
      <c r="G804">
        <v>150</v>
      </c>
      <c r="H804">
        <v>80</v>
      </c>
      <c r="I804">
        <v>31</v>
      </c>
      <c r="J804">
        <v>2</v>
      </c>
      <c r="K804">
        <v>68.325000000000003</v>
      </c>
    </row>
    <row r="805" spans="1:11">
      <c r="A805">
        <v>0.52010000000000001</v>
      </c>
      <c r="B805">
        <v>8.1799999999999998E-2</v>
      </c>
      <c r="C805">
        <v>3.2399999999999998E-2</v>
      </c>
      <c r="D805">
        <v>0.1125</v>
      </c>
      <c r="E805">
        <v>7.7000000000000002E-3</v>
      </c>
      <c r="F805">
        <v>0.24540000000000001</v>
      </c>
      <c r="G805">
        <v>60</v>
      </c>
      <c r="H805">
        <v>120</v>
      </c>
      <c r="I805">
        <v>43</v>
      </c>
      <c r="J805">
        <v>1</v>
      </c>
      <c r="K805">
        <v>31.206</v>
      </c>
    </row>
    <row r="806" spans="1:11">
      <c r="A806">
        <v>0.40129999999999999</v>
      </c>
      <c r="B806">
        <v>7.6799999999999993E-2</v>
      </c>
      <c r="C806">
        <v>0.18940000000000001</v>
      </c>
      <c r="D806">
        <v>0.1067</v>
      </c>
      <c r="E806">
        <v>4.0899999999999999E-2</v>
      </c>
      <c r="F806">
        <v>0.18490000000000001</v>
      </c>
      <c r="G806">
        <v>70</v>
      </c>
      <c r="H806">
        <v>100</v>
      </c>
      <c r="I806">
        <v>24</v>
      </c>
      <c r="J806">
        <v>2</v>
      </c>
      <c r="K806">
        <v>28.091000000000001</v>
      </c>
    </row>
    <row r="807" spans="1:11">
      <c r="A807">
        <v>0.24010000000000001</v>
      </c>
      <c r="B807">
        <v>4.0800000000000003E-2</v>
      </c>
      <c r="C807">
        <v>0.22389999999999999</v>
      </c>
      <c r="D807">
        <v>5.28E-2</v>
      </c>
      <c r="E807">
        <v>0.18490000000000001</v>
      </c>
      <c r="F807">
        <v>0.25750000000000001</v>
      </c>
      <c r="G807">
        <v>100</v>
      </c>
      <c r="H807">
        <v>110</v>
      </c>
      <c r="I807">
        <v>34</v>
      </c>
      <c r="J807">
        <v>1</v>
      </c>
      <c r="K807">
        <v>24.01</v>
      </c>
    </row>
    <row r="808" spans="1:11">
      <c r="A808">
        <v>0.2394</v>
      </c>
      <c r="B808">
        <v>3.6900000000000002E-2</v>
      </c>
      <c r="C808">
        <v>0.15340000000000001</v>
      </c>
      <c r="D808">
        <v>5.1400000000000001E-2</v>
      </c>
      <c r="E808">
        <v>0.25700000000000001</v>
      </c>
      <c r="F808">
        <v>0.26190000000000002</v>
      </c>
      <c r="G808">
        <v>130</v>
      </c>
      <c r="H808">
        <v>190</v>
      </c>
      <c r="I808">
        <v>26</v>
      </c>
      <c r="J808">
        <v>1</v>
      </c>
      <c r="K808">
        <v>31.122</v>
      </c>
    </row>
    <row r="809" spans="1:11">
      <c r="A809">
        <v>0.23649999999999999</v>
      </c>
      <c r="B809">
        <v>7.0999999999999994E-2</v>
      </c>
      <c r="C809">
        <v>9.9500000000000005E-2</v>
      </c>
      <c r="D809">
        <v>2.3400000000000001E-2</v>
      </c>
      <c r="E809">
        <v>0.15709999999999999</v>
      </c>
      <c r="F809">
        <v>0.41260000000000002</v>
      </c>
      <c r="G809">
        <v>70</v>
      </c>
      <c r="H809">
        <v>100</v>
      </c>
      <c r="I809">
        <v>32</v>
      </c>
      <c r="J809">
        <v>1</v>
      </c>
      <c r="K809">
        <v>16.555</v>
      </c>
    </row>
    <row r="810" spans="1:11">
      <c r="A810">
        <v>0.3211</v>
      </c>
      <c r="B810">
        <v>0.20130000000000001</v>
      </c>
      <c r="C810">
        <v>8.8800000000000004E-2</v>
      </c>
      <c r="D810">
        <v>6.6E-3</v>
      </c>
      <c r="E810">
        <v>6.1400000000000003E-2</v>
      </c>
      <c r="F810">
        <v>0.32069999999999999</v>
      </c>
      <c r="G810">
        <v>80</v>
      </c>
      <c r="H810">
        <v>110</v>
      </c>
      <c r="I810">
        <v>43</v>
      </c>
      <c r="J810">
        <v>1</v>
      </c>
      <c r="K810">
        <v>25.687999999999999</v>
      </c>
    </row>
    <row r="811" spans="1:11">
      <c r="A811">
        <v>0.30449999999999999</v>
      </c>
      <c r="B811">
        <v>3.4299999999999997E-2</v>
      </c>
      <c r="C811">
        <v>0.129</v>
      </c>
      <c r="D811">
        <v>3.5900000000000001E-2</v>
      </c>
      <c r="E811">
        <v>0.16980000000000001</v>
      </c>
      <c r="F811">
        <v>0.3266</v>
      </c>
      <c r="G811">
        <v>80</v>
      </c>
      <c r="H811">
        <v>120</v>
      </c>
      <c r="I811">
        <v>31</v>
      </c>
      <c r="J811">
        <v>1</v>
      </c>
      <c r="K811">
        <v>24.36</v>
      </c>
    </row>
    <row r="812" spans="1:11">
      <c r="A812">
        <v>0.4012</v>
      </c>
      <c r="B812">
        <v>0.16969999999999999</v>
      </c>
      <c r="C812">
        <v>0.1075</v>
      </c>
      <c r="D812">
        <v>3.5799999999999998E-2</v>
      </c>
      <c r="E812">
        <v>8.9899999999999994E-2</v>
      </c>
      <c r="F812">
        <v>0.19600000000000001</v>
      </c>
      <c r="G812">
        <v>60</v>
      </c>
      <c r="H812">
        <v>90</v>
      </c>
      <c r="I812">
        <v>26</v>
      </c>
      <c r="J812">
        <v>2</v>
      </c>
      <c r="K812">
        <v>24.071999999999999</v>
      </c>
    </row>
    <row r="813" spans="1:11">
      <c r="A813">
        <v>0.36330000000000001</v>
      </c>
      <c r="B813">
        <v>6.1499999999999999E-2</v>
      </c>
      <c r="C813">
        <v>0.10349999999999999</v>
      </c>
      <c r="D813">
        <v>7.3099999999999998E-2</v>
      </c>
      <c r="E813">
        <v>4.58E-2</v>
      </c>
      <c r="F813">
        <v>0.3528</v>
      </c>
      <c r="G813">
        <v>70</v>
      </c>
      <c r="H813">
        <v>60</v>
      </c>
      <c r="I813">
        <v>29</v>
      </c>
      <c r="J813">
        <v>2</v>
      </c>
      <c r="K813">
        <v>25.431000000000001</v>
      </c>
    </row>
    <row r="814" spans="1:11">
      <c r="A814">
        <v>0.32590000000000002</v>
      </c>
      <c r="B814">
        <v>5.0900000000000001E-2</v>
      </c>
      <c r="C814">
        <v>8.7800000000000003E-2</v>
      </c>
      <c r="D814">
        <v>0.11650000000000001</v>
      </c>
      <c r="E814">
        <v>0.2</v>
      </c>
      <c r="F814">
        <v>0.21890000000000001</v>
      </c>
      <c r="G814">
        <v>150</v>
      </c>
      <c r="H814">
        <v>140</v>
      </c>
      <c r="I814">
        <v>30</v>
      </c>
      <c r="J814">
        <v>2</v>
      </c>
      <c r="K814">
        <v>48.884999999999998</v>
      </c>
    </row>
    <row r="815" spans="1:11">
      <c r="A815">
        <v>0.19370000000000001</v>
      </c>
      <c r="B815">
        <v>6.54E-2</v>
      </c>
      <c r="C815">
        <v>0.50349999999999995</v>
      </c>
      <c r="D815">
        <v>2.4299999999999999E-2</v>
      </c>
      <c r="E815">
        <v>4.4299999999999999E-2</v>
      </c>
      <c r="F815">
        <v>0.16880000000000001</v>
      </c>
      <c r="G815">
        <v>180</v>
      </c>
      <c r="H815">
        <v>80</v>
      </c>
      <c r="I815">
        <v>44</v>
      </c>
      <c r="J815">
        <v>1</v>
      </c>
      <c r="K815">
        <v>34.866</v>
      </c>
    </row>
    <row r="816" spans="1:11">
      <c r="A816">
        <v>0.36120000000000002</v>
      </c>
      <c r="B816">
        <v>3.15E-2</v>
      </c>
      <c r="C816">
        <v>8.1199999999999994E-2</v>
      </c>
      <c r="D816">
        <v>0.16500000000000001</v>
      </c>
      <c r="E816">
        <v>5.9499999999999997E-2</v>
      </c>
      <c r="F816">
        <v>0.30149999999999999</v>
      </c>
      <c r="G816">
        <v>120</v>
      </c>
      <c r="H816">
        <v>140</v>
      </c>
      <c r="I816">
        <v>37</v>
      </c>
      <c r="J816">
        <v>2</v>
      </c>
      <c r="K816">
        <v>43.344000000000001</v>
      </c>
    </row>
    <row r="817" spans="1:11">
      <c r="A817">
        <v>0.38090000000000002</v>
      </c>
      <c r="B817">
        <v>0.10680000000000001</v>
      </c>
      <c r="C817">
        <v>4.4400000000000002E-2</v>
      </c>
      <c r="D817">
        <v>0.13700000000000001</v>
      </c>
      <c r="E817">
        <v>3.9899999999999998E-2</v>
      </c>
      <c r="F817">
        <v>0.29099999999999998</v>
      </c>
      <c r="G817">
        <v>70</v>
      </c>
      <c r="H817">
        <v>120</v>
      </c>
      <c r="I817">
        <v>37</v>
      </c>
      <c r="J817">
        <v>2</v>
      </c>
      <c r="K817">
        <v>26.663</v>
      </c>
    </row>
    <row r="818" spans="1:11">
      <c r="A818">
        <v>0.36699999999999999</v>
      </c>
      <c r="B818">
        <v>0.1038</v>
      </c>
      <c r="C818">
        <v>0</v>
      </c>
      <c r="D818">
        <v>3.1699999999999999E-2</v>
      </c>
      <c r="E818">
        <v>0.21940000000000001</v>
      </c>
      <c r="F818">
        <v>0.2782</v>
      </c>
      <c r="G818">
        <v>70</v>
      </c>
      <c r="H818">
        <v>100</v>
      </c>
      <c r="I818">
        <v>23</v>
      </c>
      <c r="J818">
        <v>1</v>
      </c>
      <c r="K818">
        <v>25.69</v>
      </c>
    </row>
    <row r="819" spans="1:11">
      <c r="A819">
        <v>0.50249999999999995</v>
      </c>
      <c r="B819">
        <v>0.1038</v>
      </c>
      <c r="C819">
        <v>1.23E-2</v>
      </c>
      <c r="D819">
        <v>6.1600000000000002E-2</v>
      </c>
      <c r="E819">
        <v>5.2999999999999999E-2</v>
      </c>
      <c r="F819">
        <v>0.26679999999999998</v>
      </c>
      <c r="G819">
        <v>70</v>
      </c>
      <c r="H819">
        <v>100</v>
      </c>
      <c r="I819">
        <v>28</v>
      </c>
      <c r="J819">
        <v>2</v>
      </c>
      <c r="K819">
        <v>35.174999999999997</v>
      </c>
    </row>
    <row r="820" spans="1:11">
      <c r="A820">
        <v>0.17150000000000001</v>
      </c>
      <c r="B820">
        <v>9.0399999999999994E-2</v>
      </c>
      <c r="C820">
        <v>0.29480000000000001</v>
      </c>
      <c r="D820">
        <v>1.5299999999999999E-2</v>
      </c>
      <c r="E820">
        <v>0.12520000000000001</v>
      </c>
      <c r="F820">
        <v>0.30280000000000001</v>
      </c>
      <c r="G820">
        <v>80</v>
      </c>
      <c r="H820">
        <v>140</v>
      </c>
      <c r="I820">
        <v>43</v>
      </c>
      <c r="J820">
        <v>2</v>
      </c>
      <c r="K820">
        <v>13.72</v>
      </c>
    </row>
    <row r="821" spans="1:11">
      <c r="A821">
        <v>0.12559999999999999</v>
      </c>
      <c r="B821">
        <v>4.6699999999999998E-2</v>
      </c>
      <c r="C821">
        <v>6.9099999999999995E-2</v>
      </c>
      <c r="D821">
        <v>0.15129999999999999</v>
      </c>
      <c r="E821">
        <v>0.26100000000000001</v>
      </c>
      <c r="F821">
        <v>0.3463</v>
      </c>
      <c r="G821">
        <v>150</v>
      </c>
      <c r="H821">
        <v>120</v>
      </c>
      <c r="I821">
        <v>24</v>
      </c>
      <c r="J821">
        <v>1</v>
      </c>
      <c r="K821">
        <v>18.84</v>
      </c>
    </row>
    <row r="822" spans="1:11">
      <c r="A822">
        <v>0.40300000000000002</v>
      </c>
      <c r="B822">
        <v>8.3799999999999999E-2</v>
      </c>
      <c r="C822">
        <v>5.7200000000000001E-2</v>
      </c>
      <c r="D822">
        <v>0.154</v>
      </c>
      <c r="E822">
        <v>3.9199999999999999E-2</v>
      </c>
      <c r="F822">
        <v>0.26290000000000002</v>
      </c>
      <c r="G822">
        <v>90</v>
      </c>
      <c r="H822">
        <v>190</v>
      </c>
      <c r="I822">
        <v>54</v>
      </c>
      <c r="J822">
        <v>1</v>
      </c>
      <c r="K822">
        <v>36.270000000000003</v>
      </c>
    </row>
    <row r="823" spans="1:11">
      <c r="A823">
        <v>0.21759999999999999</v>
      </c>
      <c r="B823">
        <v>0.14069999999999999</v>
      </c>
      <c r="C823">
        <v>2.1000000000000001E-2</v>
      </c>
      <c r="D823">
        <v>0.12230000000000001</v>
      </c>
      <c r="E823">
        <v>7.6799999999999993E-2</v>
      </c>
      <c r="F823">
        <v>0.42159999999999997</v>
      </c>
      <c r="G823">
        <v>70</v>
      </c>
      <c r="H823">
        <v>120</v>
      </c>
      <c r="I823">
        <v>28</v>
      </c>
      <c r="J823">
        <v>2</v>
      </c>
      <c r="K823">
        <v>15.231999999999999</v>
      </c>
    </row>
    <row r="824" spans="1:11">
      <c r="A824">
        <v>0.253</v>
      </c>
      <c r="B824">
        <v>3.3099999999999997E-2</v>
      </c>
      <c r="C824">
        <v>6.25E-2</v>
      </c>
      <c r="D824">
        <v>3.5999999999999999E-3</v>
      </c>
      <c r="E824">
        <v>9.6799999999999997E-2</v>
      </c>
      <c r="F824">
        <v>0.55089999999999995</v>
      </c>
      <c r="G824">
        <v>130</v>
      </c>
      <c r="H824">
        <v>130</v>
      </c>
      <c r="I824">
        <v>32</v>
      </c>
      <c r="J824">
        <v>2</v>
      </c>
      <c r="K824">
        <v>32.89</v>
      </c>
    </row>
    <row r="825" spans="1:11">
      <c r="A825">
        <v>0.31659999999999999</v>
      </c>
      <c r="B825">
        <v>4.7699999999999999E-2</v>
      </c>
      <c r="C825">
        <v>0.18179999999999999</v>
      </c>
      <c r="D825">
        <v>0</v>
      </c>
      <c r="E825">
        <v>0.189</v>
      </c>
      <c r="F825">
        <v>0.26479999999999998</v>
      </c>
      <c r="G825">
        <v>120</v>
      </c>
      <c r="H825">
        <v>120</v>
      </c>
      <c r="I825">
        <v>36</v>
      </c>
      <c r="J825">
        <v>2</v>
      </c>
      <c r="K825">
        <v>37.991999999999997</v>
      </c>
    </row>
    <row r="826" spans="1:11">
      <c r="A826">
        <v>0.53069999999999995</v>
      </c>
      <c r="B826">
        <v>3.2000000000000001E-2</v>
      </c>
      <c r="C826">
        <v>0.1027</v>
      </c>
      <c r="D826">
        <v>0</v>
      </c>
      <c r="E826">
        <v>0.18529999999999999</v>
      </c>
      <c r="F826">
        <v>0.14929999999999999</v>
      </c>
      <c r="G826">
        <v>110</v>
      </c>
      <c r="H826">
        <v>120</v>
      </c>
      <c r="I826">
        <v>37</v>
      </c>
      <c r="J826">
        <v>2</v>
      </c>
      <c r="K826">
        <v>58.377000000000002</v>
      </c>
    </row>
    <row r="827" spans="1:11">
      <c r="A827">
        <v>0.49099999999999999</v>
      </c>
      <c r="B827">
        <v>3.6499999999999998E-2</v>
      </c>
      <c r="C827">
        <v>0.17430000000000001</v>
      </c>
      <c r="D827">
        <v>4.41E-2</v>
      </c>
      <c r="E827">
        <v>9.4299999999999995E-2</v>
      </c>
      <c r="F827">
        <v>0.15989999999999999</v>
      </c>
      <c r="G827">
        <v>50</v>
      </c>
      <c r="H827">
        <v>80</v>
      </c>
      <c r="I827">
        <v>42</v>
      </c>
      <c r="J827">
        <v>1</v>
      </c>
      <c r="K827">
        <v>24.55</v>
      </c>
    </row>
    <row r="828" spans="1:11">
      <c r="A828">
        <v>0.36120000000000002</v>
      </c>
      <c r="B828">
        <v>0.1454</v>
      </c>
      <c r="C828">
        <v>2.75E-2</v>
      </c>
      <c r="D828">
        <v>1.8499999999999999E-2</v>
      </c>
      <c r="E828">
        <v>0.16520000000000001</v>
      </c>
      <c r="F828">
        <v>0.28210000000000002</v>
      </c>
      <c r="G828">
        <v>50</v>
      </c>
      <c r="H828">
        <v>90</v>
      </c>
      <c r="I828">
        <v>23</v>
      </c>
      <c r="J828">
        <v>1</v>
      </c>
      <c r="K828">
        <v>18.059999999999999</v>
      </c>
    </row>
    <row r="829" spans="1:11">
      <c r="A829">
        <v>0.4214</v>
      </c>
      <c r="B829">
        <v>7.0599999999999996E-2</v>
      </c>
      <c r="C829">
        <v>0.19769999999999999</v>
      </c>
      <c r="D829">
        <v>6.1400000000000003E-2</v>
      </c>
      <c r="E829">
        <v>9.4500000000000001E-2</v>
      </c>
      <c r="F829">
        <v>0.15440000000000001</v>
      </c>
      <c r="G829">
        <v>60</v>
      </c>
      <c r="H829">
        <v>90</v>
      </c>
      <c r="I829">
        <v>31</v>
      </c>
      <c r="J829">
        <v>1</v>
      </c>
      <c r="K829">
        <v>25.283999999999999</v>
      </c>
    </row>
    <row r="830" spans="1:11">
      <c r="A830">
        <v>0.33329999999999999</v>
      </c>
      <c r="B830">
        <v>0.1205</v>
      </c>
      <c r="C830">
        <v>6.7699999999999996E-2</v>
      </c>
      <c r="D830">
        <v>3.8800000000000001E-2</v>
      </c>
      <c r="E830">
        <v>8.4699999999999998E-2</v>
      </c>
      <c r="F830">
        <v>0.35510000000000003</v>
      </c>
      <c r="G830">
        <v>90</v>
      </c>
      <c r="H830">
        <v>200</v>
      </c>
      <c r="I830">
        <v>39</v>
      </c>
      <c r="J830">
        <v>2</v>
      </c>
      <c r="K830">
        <v>29.997</v>
      </c>
    </row>
    <row r="831" spans="1:11">
      <c r="A831">
        <v>0.4819</v>
      </c>
      <c r="B831">
        <v>9.2299999999999993E-2</v>
      </c>
      <c r="C831">
        <v>4.2000000000000003E-2</v>
      </c>
      <c r="D831">
        <v>0.10290000000000001</v>
      </c>
      <c r="E831">
        <v>6.3500000000000001E-2</v>
      </c>
      <c r="F831">
        <v>0.21740000000000001</v>
      </c>
      <c r="G831">
        <v>90</v>
      </c>
      <c r="H831">
        <v>190</v>
      </c>
      <c r="I831">
        <v>44</v>
      </c>
      <c r="J831">
        <v>2</v>
      </c>
      <c r="K831">
        <v>43.371000000000002</v>
      </c>
    </row>
    <row r="832" spans="1:11">
      <c r="A832">
        <v>0.2777</v>
      </c>
      <c r="B832">
        <v>3.5900000000000001E-2</v>
      </c>
      <c r="C832">
        <v>0.31059999999999999</v>
      </c>
      <c r="D832">
        <v>0.18640000000000001</v>
      </c>
      <c r="E832">
        <v>3.7499999999999999E-2</v>
      </c>
      <c r="F832">
        <v>0.15190000000000001</v>
      </c>
      <c r="G832">
        <v>110</v>
      </c>
      <c r="H832">
        <v>190</v>
      </c>
      <c r="I832">
        <v>25</v>
      </c>
      <c r="J832">
        <v>1</v>
      </c>
      <c r="K832">
        <v>30.547000000000001</v>
      </c>
    </row>
    <row r="833" spans="1:11">
      <c r="A833">
        <v>0.47070000000000001</v>
      </c>
      <c r="B833">
        <v>0.1032</v>
      </c>
      <c r="C833">
        <v>0</v>
      </c>
      <c r="D833">
        <v>3.9699999999999999E-2</v>
      </c>
      <c r="E833">
        <v>0.25309999999999999</v>
      </c>
      <c r="F833">
        <v>0.1333</v>
      </c>
      <c r="G833">
        <v>110</v>
      </c>
      <c r="H833">
        <v>140</v>
      </c>
      <c r="I833">
        <v>36</v>
      </c>
      <c r="J833">
        <v>2</v>
      </c>
      <c r="K833">
        <v>51.777000000000001</v>
      </c>
    </row>
    <row r="834" spans="1:11">
      <c r="A834">
        <v>0.28610000000000002</v>
      </c>
      <c r="B834">
        <v>3.6999999999999998E-2</v>
      </c>
      <c r="C834">
        <v>0.1211</v>
      </c>
      <c r="D834">
        <v>0</v>
      </c>
      <c r="E834">
        <v>0.32179999999999997</v>
      </c>
      <c r="F834">
        <v>0.2341</v>
      </c>
      <c r="G834">
        <v>90</v>
      </c>
      <c r="H834">
        <v>100</v>
      </c>
      <c r="I834">
        <v>32</v>
      </c>
      <c r="J834">
        <v>2</v>
      </c>
      <c r="K834">
        <v>25.748999999999999</v>
      </c>
    </row>
    <row r="835" spans="1:11">
      <c r="A835">
        <v>0.24629999999999999</v>
      </c>
      <c r="B835">
        <v>6.9900000000000004E-2</v>
      </c>
      <c r="C835">
        <v>0.1125</v>
      </c>
      <c r="D835">
        <v>8.8999999999999996E-2</v>
      </c>
      <c r="E835">
        <v>9.7199999999999995E-2</v>
      </c>
      <c r="F835">
        <v>0.3851</v>
      </c>
      <c r="G835">
        <v>100</v>
      </c>
      <c r="H835">
        <v>90</v>
      </c>
      <c r="I835">
        <v>38</v>
      </c>
      <c r="J835">
        <v>1</v>
      </c>
      <c r="K835">
        <v>24.63</v>
      </c>
    </row>
    <row r="836" spans="1:11">
      <c r="A836">
        <v>0.47360000000000002</v>
      </c>
      <c r="B836">
        <v>8.9399999999999993E-2</v>
      </c>
      <c r="C836">
        <v>0.11</v>
      </c>
      <c r="D836">
        <v>0.11990000000000001</v>
      </c>
      <c r="E836">
        <v>6.4799999999999996E-2</v>
      </c>
      <c r="F836">
        <v>0.1424</v>
      </c>
      <c r="G836">
        <v>40</v>
      </c>
      <c r="H836">
        <v>100</v>
      </c>
      <c r="I836">
        <v>26</v>
      </c>
      <c r="J836">
        <v>1</v>
      </c>
      <c r="K836">
        <v>18.943999999999999</v>
      </c>
    </row>
    <row r="837" spans="1:11">
      <c r="A837">
        <v>0.19109999999999999</v>
      </c>
      <c r="B837">
        <v>3.1699999999999999E-2</v>
      </c>
      <c r="C837">
        <v>3.5999999999999999E-3</v>
      </c>
      <c r="D837">
        <v>2.98E-2</v>
      </c>
      <c r="E837">
        <v>7.9200000000000007E-2</v>
      </c>
      <c r="F837">
        <v>0.66459999999999997</v>
      </c>
      <c r="G837">
        <v>170</v>
      </c>
      <c r="H837">
        <v>140</v>
      </c>
      <c r="I837">
        <v>26</v>
      </c>
      <c r="J837">
        <v>1</v>
      </c>
      <c r="K837">
        <v>32.487000000000002</v>
      </c>
    </row>
    <row r="838" spans="1:11">
      <c r="A838">
        <v>0.50529999999999997</v>
      </c>
      <c r="B838">
        <v>2.5999999999999999E-2</v>
      </c>
      <c r="C838">
        <v>6.2300000000000001E-2</v>
      </c>
      <c r="D838">
        <v>5.1400000000000001E-2</v>
      </c>
      <c r="E838">
        <v>0.1031</v>
      </c>
      <c r="F838">
        <v>0.25190000000000001</v>
      </c>
      <c r="G838">
        <v>100</v>
      </c>
      <c r="H838">
        <v>100</v>
      </c>
      <c r="I838">
        <v>32</v>
      </c>
      <c r="J838">
        <v>2</v>
      </c>
      <c r="K838">
        <v>50.53</v>
      </c>
    </row>
    <row r="839" spans="1:11">
      <c r="A839">
        <v>0.19489999999999999</v>
      </c>
      <c r="B839">
        <v>0</v>
      </c>
      <c r="C839">
        <v>0.43809999999999999</v>
      </c>
      <c r="D839">
        <v>0</v>
      </c>
      <c r="E839">
        <v>4.0099999999999997E-2</v>
      </c>
      <c r="F839">
        <v>0.32700000000000001</v>
      </c>
      <c r="G839">
        <v>120</v>
      </c>
      <c r="H839">
        <v>100</v>
      </c>
      <c r="I839">
        <v>43</v>
      </c>
      <c r="J839">
        <v>2</v>
      </c>
      <c r="K839">
        <v>23.388000000000002</v>
      </c>
    </row>
    <row r="840" spans="1:11">
      <c r="A840">
        <v>0.24529999999999999</v>
      </c>
      <c r="B840">
        <v>0.1009</v>
      </c>
      <c r="C840">
        <v>2.4799999999999999E-2</v>
      </c>
      <c r="D840">
        <v>7.7399999999999997E-2</v>
      </c>
      <c r="E840">
        <v>0.3584</v>
      </c>
      <c r="F840">
        <v>0.19320000000000001</v>
      </c>
      <c r="G840">
        <v>70</v>
      </c>
      <c r="H840">
        <v>110</v>
      </c>
      <c r="I840">
        <v>28</v>
      </c>
      <c r="J840">
        <v>1</v>
      </c>
      <c r="K840">
        <v>17.170999999999999</v>
      </c>
    </row>
    <row r="841" spans="1:11">
      <c r="A841">
        <v>0.29360000000000003</v>
      </c>
      <c r="B841">
        <v>0.1241</v>
      </c>
      <c r="C841">
        <v>4.7699999999999999E-2</v>
      </c>
      <c r="D841">
        <v>0.1323</v>
      </c>
      <c r="E841">
        <v>5.5899999999999998E-2</v>
      </c>
      <c r="F841">
        <v>0.34639999999999999</v>
      </c>
      <c r="G841">
        <v>60</v>
      </c>
      <c r="H841">
        <v>100</v>
      </c>
      <c r="I841">
        <v>23</v>
      </c>
      <c r="J841">
        <v>2</v>
      </c>
      <c r="K841">
        <v>17.616</v>
      </c>
    </row>
    <row r="842" spans="1:11">
      <c r="A842">
        <v>0.41560000000000002</v>
      </c>
      <c r="B842">
        <v>0.1822</v>
      </c>
      <c r="C842">
        <v>6.6799999999999998E-2</v>
      </c>
      <c r="D842">
        <v>0</v>
      </c>
      <c r="E842">
        <v>0.1198</v>
      </c>
      <c r="F842">
        <v>0.21560000000000001</v>
      </c>
      <c r="G842">
        <v>60</v>
      </c>
      <c r="H842">
        <v>110</v>
      </c>
      <c r="I842">
        <v>34</v>
      </c>
      <c r="J842">
        <v>2</v>
      </c>
      <c r="K842">
        <v>24.936</v>
      </c>
    </row>
    <row r="843" spans="1:11">
      <c r="A843">
        <v>0.63270000000000004</v>
      </c>
      <c r="B843">
        <v>0.1608</v>
      </c>
      <c r="C843">
        <v>0</v>
      </c>
      <c r="D843">
        <v>0</v>
      </c>
      <c r="E843">
        <v>7.46E-2</v>
      </c>
      <c r="F843">
        <v>0.1318</v>
      </c>
      <c r="G843">
        <v>30</v>
      </c>
      <c r="H843">
        <v>70</v>
      </c>
      <c r="I843">
        <v>24</v>
      </c>
      <c r="J843">
        <v>1</v>
      </c>
      <c r="K843">
        <v>18.981000000000002</v>
      </c>
    </row>
    <row r="844" spans="1:11">
      <c r="A844">
        <v>0.38290000000000002</v>
      </c>
      <c r="B844">
        <v>5.9700000000000003E-2</v>
      </c>
      <c r="C844">
        <v>5.3600000000000002E-2</v>
      </c>
      <c r="D844">
        <v>6.4399999999999999E-2</v>
      </c>
      <c r="E844">
        <v>9.1200000000000003E-2</v>
      </c>
      <c r="F844">
        <v>0.34820000000000001</v>
      </c>
      <c r="G844">
        <v>80</v>
      </c>
      <c r="H844">
        <v>70</v>
      </c>
      <c r="I844">
        <v>28</v>
      </c>
      <c r="J844">
        <v>2</v>
      </c>
      <c r="K844">
        <v>30.632000000000001</v>
      </c>
    </row>
    <row r="845" spans="1:11">
      <c r="A845">
        <v>0.3735</v>
      </c>
      <c r="B845">
        <v>0.20519999999999999</v>
      </c>
      <c r="C845">
        <v>2.1000000000000001E-2</v>
      </c>
      <c r="D845">
        <v>0.15559999999999999</v>
      </c>
      <c r="E845">
        <v>4.58E-2</v>
      </c>
      <c r="F845">
        <v>0.19889999999999999</v>
      </c>
      <c r="G845">
        <v>40</v>
      </c>
      <c r="H845">
        <v>60</v>
      </c>
      <c r="I845">
        <v>24</v>
      </c>
      <c r="J845">
        <v>1</v>
      </c>
      <c r="K845">
        <v>14.94</v>
      </c>
    </row>
    <row r="846" spans="1:11">
      <c r="A846">
        <v>0.23780000000000001</v>
      </c>
      <c r="B846">
        <v>7.8200000000000006E-2</v>
      </c>
      <c r="C846">
        <v>3.9600000000000003E-2</v>
      </c>
      <c r="D846">
        <v>5.6800000000000003E-2</v>
      </c>
      <c r="E846">
        <v>0.27250000000000002</v>
      </c>
      <c r="F846">
        <v>0.31519999999999998</v>
      </c>
      <c r="G846">
        <v>120</v>
      </c>
      <c r="H846">
        <v>170</v>
      </c>
      <c r="I846">
        <v>40</v>
      </c>
      <c r="J846">
        <v>1</v>
      </c>
      <c r="K846">
        <v>28.536000000000001</v>
      </c>
    </row>
    <row r="847" spans="1:11">
      <c r="A847">
        <v>0.26140000000000002</v>
      </c>
      <c r="B847">
        <v>5.11E-2</v>
      </c>
      <c r="C847">
        <v>4.9299999999999997E-2</v>
      </c>
      <c r="D847">
        <v>0.192</v>
      </c>
      <c r="E847">
        <v>0.21149999999999999</v>
      </c>
      <c r="F847">
        <v>0.23469999999999999</v>
      </c>
      <c r="G847">
        <v>90</v>
      </c>
      <c r="H847">
        <v>150</v>
      </c>
      <c r="I847">
        <v>31</v>
      </c>
      <c r="J847">
        <v>1</v>
      </c>
      <c r="K847">
        <v>23.526</v>
      </c>
    </row>
    <row r="848" spans="1:11">
      <c r="A848">
        <v>0.20680000000000001</v>
      </c>
      <c r="B848">
        <v>1.4800000000000001E-2</v>
      </c>
      <c r="C848">
        <v>0.36199999999999999</v>
      </c>
      <c r="D848">
        <v>4.07E-2</v>
      </c>
      <c r="E848">
        <v>1.54E-2</v>
      </c>
      <c r="F848">
        <v>0.36030000000000001</v>
      </c>
      <c r="G848">
        <v>260</v>
      </c>
      <c r="H848">
        <v>100</v>
      </c>
      <c r="I848">
        <v>25</v>
      </c>
      <c r="J848">
        <v>2</v>
      </c>
      <c r="K848">
        <v>53.768000000000001</v>
      </c>
    </row>
    <row r="849" spans="1:11">
      <c r="A849">
        <v>0.32300000000000001</v>
      </c>
      <c r="B849">
        <v>9.6699999999999994E-2</v>
      </c>
      <c r="C849">
        <v>0.2331</v>
      </c>
      <c r="D849">
        <v>4.36E-2</v>
      </c>
      <c r="E849">
        <v>0.14760000000000001</v>
      </c>
      <c r="F849">
        <v>0.15609999999999999</v>
      </c>
      <c r="G849">
        <v>50</v>
      </c>
      <c r="H849">
        <v>80</v>
      </c>
      <c r="I849">
        <v>26</v>
      </c>
      <c r="J849">
        <v>1</v>
      </c>
      <c r="K849">
        <v>16.149999999999999</v>
      </c>
    </row>
    <row r="850" spans="1:11">
      <c r="A850">
        <v>0.39450000000000002</v>
      </c>
      <c r="B850">
        <v>7.1999999999999995E-2</v>
      </c>
      <c r="C850">
        <v>0.15659999999999999</v>
      </c>
      <c r="D850">
        <v>0.1004</v>
      </c>
      <c r="E850">
        <v>4.1999999999999997E-3</v>
      </c>
      <c r="F850">
        <v>0.2722</v>
      </c>
      <c r="G850">
        <v>120</v>
      </c>
      <c r="H850">
        <v>120</v>
      </c>
      <c r="I850">
        <v>32</v>
      </c>
      <c r="J850">
        <v>2</v>
      </c>
      <c r="K850">
        <v>47.34</v>
      </c>
    </row>
    <row r="851" spans="1:11">
      <c r="A851">
        <v>0.53700000000000003</v>
      </c>
      <c r="B851">
        <v>7.5499999999999998E-2</v>
      </c>
      <c r="C851">
        <v>8.9999999999999993E-3</v>
      </c>
      <c r="D851">
        <v>3.3399999999999999E-2</v>
      </c>
      <c r="E851">
        <v>0.11749999999999999</v>
      </c>
      <c r="F851">
        <v>0.2276</v>
      </c>
      <c r="G851">
        <v>90</v>
      </c>
      <c r="H851">
        <v>130</v>
      </c>
      <c r="I851">
        <v>34</v>
      </c>
      <c r="J851">
        <v>1</v>
      </c>
      <c r="K851">
        <v>48.33</v>
      </c>
    </row>
    <row r="852" spans="1:11">
      <c r="A852">
        <v>0.49440000000000001</v>
      </c>
      <c r="B852">
        <v>6.2899999999999998E-2</v>
      </c>
      <c r="C852">
        <v>0.1053</v>
      </c>
      <c r="D852">
        <v>2.7099999999999999E-2</v>
      </c>
      <c r="E852">
        <v>2.76E-2</v>
      </c>
      <c r="F852">
        <v>0.28260000000000002</v>
      </c>
      <c r="G852">
        <v>120</v>
      </c>
      <c r="H852">
        <v>160</v>
      </c>
      <c r="I852">
        <v>34</v>
      </c>
      <c r="J852">
        <v>2</v>
      </c>
      <c r="K852">
        <v>59.328000000000003</v>
      </c>
    </row>
    <row r="853" spans="1:11">
      <c r="A853">
        <v>0.43830000000000002</v>
      </c>
      <c r="B853">
        <v>0.1124</v>
      </c>
      <c r="C853">
        <v>0.15570000000000001</v>
      </c>
      <c r="D853">
        <v>5.3699999999999998E-2</v>
      </c>
      <c r="E853">
        <v>7.7000000000000002E-3</v>
      </c>
      <c r="F853">
        <v>0.23219999999999999</v>
      </c>
      <c r="G853">
        <v>60</v>
      </c>
      <c r="H853">
        <v>160</v>
      </c>
      <c r="I853">
        <v>38</v>
      </c>
      <c r="J853">
        <v>1</v>
      </c>
      <c r="K853">
        <v>26.297999999999998</v>
      </c>
    </row>
    <row r="854" spans="1:11">
      <c r="A854">
        <v>0.33910000000000001</v>
      </c>
      <c r="B854">
        <v>6.0199999999999997E-2</v>
      </c>
      <c r="C854">
        <v>7.9100000000000004E-2</v>
      </c>
      <c r="D854">
        <v>5.4800000000000001E-2</v>
      </c>
      <c r="E854">
        <v>5.1999999999999998E-2</v>
      </c>
      <c r="F854">
        <v>0.41470000000000001</v>
      </c>
      <c r="G854">
        <v>60</v>
      </c>
      <c r="H854">
        <v>80</v>
      </c>
      <c r="I854">
        <v>45</v>
      </c>
      <c r="J854">
        <v>1</v>
      </c>
      <c r="K854">
        <v>20.346</v>
      </c>
    </row>
    <row r="855" spans="1:11">
      <c r="A855">
        <v>0.46079999999999999</v>
      </c>
      <c r="B855">
        <v>0.12520000000000001</v>
      </c>
      <c r="C855">
        <v>0.1404</v>
      </c>
      <c r="D855">
        <v>3.0999999999999999E-3</v>
      </c>
      <c r="E855">
        <v>0.107</v>
      </c>
      <c r="F855">
        <v>0.16339999999999999</v>
      </c>
      <c r="G855">
        <v>100</v>
      </c>
      <c r="H855">
        <v>110</v>
      </c>
      <c r="I855">
        <v>39</v>
      </c>
      <c r="J855">
        <v>2</v>
      </c>
      <c r="K855">
        <v>46.08</v>
      </c>
    </row>
    <row r="856" spans="1:11">
      <c r="A856">
        <v>0.2041</v>
      </c>
      <c r="B856">
        <v>0.1263</v>
      </c>
      <c r="C856">
        <v>0.20860000000000001</v>
      </c>
      <c r="D856">
        <v>7.3999999999999996E-2</v>
      </c>
      <c r="E856">
        <v>0.23419999999999999</v>
      </c>
      <c r="F856">
        <v>0.15290000000000001</v>
      </c>
      <c r="G856">
        <v>200</v>
      </c>
      <c r="H856">
        <v>190</v>
      </c>
      <c r="I856">
        <v>33</v>
      </c>
      <c r="J856">
        <v>2</v>
      </c>
      <c r="K856">
        <v>40.82</v>
      </c>
    </row>
    <row r="857" spans="1:11">
      <c r="A857">
        <v>0.32040000000000002</v>
      </c>
      <c r="B857">
        <v>0.29930000000000001</v>
      </c>
      <c r="C857">
        <v>4.1000000000000002E-2</v>
      </c>
      <c r="D857">
        <v>1.8100000000000002E-2</v>
      </c>
      <c r="E857">
        <v>0.13669999999999999</v>
      </c>
      <c r="F857">
        <v>0.1845</v>
      </c>
      <c r="G857">
        <v>110</v>
      </c>
      <c r="H857">
        <v>210</v>
      </c>
      <c r="I857">
        <v>36</v>
      </c>
      <c r="J857">
        <v>2</v>
      </c>
      <c r="K857">
        <v>35.244</v>
      </c>
    </row>
    <row r="858" spans="1:11">
      <c r="A858">
        <v>0.40500000000000003</v>
      </c>
      <c r="B858">
        <v>0.08</v>
      </c>
      <c r="C858">
        <v>0.1234</v>
      </c>
      <c r="D858">
        <v>4.3999999999999997E-2</v>
      </c>
      <c r="E858">
        <v>0.18179999999999999</v>
      </c>
      <c r="F858">
        <v>0.1658</v>
      </c>
      <c r="G858">
        <v>100</v>
      </c>
      <c r="H858">
        <v>140</v>
      </c>
      <c r="I858">
        <v>35</v>
      </c>
      <c r="J858">
        <v>2</v>
      </c>
      <c r="K858">
        <v>40.5</v>
      </c>
    </row>
    <row r="859" spans="1:11">
      <c r="A859">
        <v>0.2369</v>
      </c>
      <c r="B859">
        <v>0.14169999999999999</v>
      </c>
      <c r="C859">
        <v>0.1163</v>
      </c>
      <c r="D859">
        <v>4.1200000000000001E-2</v>
      </c>
      <c r="E859">
        <v>2.6200000000000001E-2</v>
      </c>
      <c r="F859">
        <v>0.43769999999999998</v>
      </c>
      <c r="G859">
        <v>130</v>
      </c>
      <c r="H859">
        <v>250</v>
      </c>
      <c r="I859">
        <v>35</v>
      </c>
      <c r="J859">
        <v>2</v>
      </c>
      <c r="K859">
        <v>30.797000000000001</v>
      </c>
    </row>
    <row r="860" spans="1:11">
      <c r="A860">
        <v>0.23330000000000001</v>
      </c>
      <c r="B860">
        <v>4.3499999999999997E-2</v>
      </c>
      <c r="C860">
        <v>0.217</v>
      </c>
      <c r="D860">
        <v>7.4700000000000003E-2</v>
      </c>
      <c r="E860">
        <v>0.23619999999999999</v>
      </c>
      <c r="F860">
        <v>0.19520000000000001</v>
      </c>
      <c r="G860">
        <v>130</v>
      </c>
      <c r="H860">
        <v>130</v>
      </c>
      <c r="I860">
        <v>24</v>
      </c>
      <c r="J860">
        <v>1</v>
      </c>
      <c r="K860">
        <v>30.329000000000001</v>
      </c>
    </row>
    <row r="861" spans="1:11">
      <c r="A861">
        <v>0.43440000000000001</v>
      </c>
      <c r="B861">
        <v>2.5000000000000001E-2</v>
      </c>
      <c r="C861">
        <v>0.1714</v>
      </c>
      <c r="D861">
        <v>1.7399999999999999E-2</v>
      </c>
      <c r="E861">
        <v>0.14380000000000001</v>
      </c>
      <c r="F861">
        <v>0.2079</v>
      </c>
      <c r="G861">
        <v>80</v>
      </c>
      <c r="H861">
        <v>100</v>
      </c>
      <c r="I861">
        <v>42</v>
      </c>
      <c r="J861">
        <v>1</v>
      </c>
      <c r="K861">
        <v>34.752000000000002</v>
      </c>
    </row>
    <row r="862" spans="1:11">
      <c r="A862">
        <v>0.29170000000000001</v>
      </c>
      <c r="B862">
        <v>7.1099999999999997E-2</v>
      </c>
      <c r="C862">
        <v>0.16109999999999999</v>
      </c>
      <c r="D862">
        <v>0.1225</v>
      </c>
      <c r="E862">
        <v>2.4299999999999999E-2</v>
      </c>
      <c r="F862">
        <v>0.32940000000000003</v>
      </c>
      <c r="G862">
        <v>120</v>
      </c>
      <c r="H862">
        <v>90</v>
      </c>
      <c r="I862">
        <v>34</v>
      </c>
      <c r="J862">
        <v>2</v>
      </c>
      <c r="K862">
        <v>35.003999999999998</v>
      </c>
    </row>
    <row r="863" spans="1:11">
      <c r="A863">
        <v>0.35620000000000002</v>
      </c>
      <c r="B863">
        <v>0.1363</v>
      </c>
      <c r="C863">
        <v>7.8100000000000003E-2</v>
      </c>
      <c r="D863">
        <v>1.8499999999999999E-2</v>
      </c>
      <c r="E863">
        <v>0.1452</v>
      </c>
      <c r="F863">
        <v>0.26569999999999999</v>
      </c>
      <c r="G863">
        <v>40</v>
      </c>
      <c r="H863">
        <v>110</v>
      </c>
      <c r="I863">
        <v>31</v>
      </c>
      <c r="J863">
        <v>2</v>
      </c>
      <c r="K863">
        <v>14.247999999999999</v>
      </c>
    </row>
    <row r="864" spans="1:11">
      <c r="A864">
        <v>0.26750000000000002</v>
      </c>
      <c r="B864">
        <v>0.12790000000000001</v>
      </c>
      <c r="C864">
        <v>7.8299999999999995E-2</v>
      </c>
      <c r="D864">
        <v>6.5799999999999997E-2</v>
      </c>
      <c r="E864">
        <v>7.0499999999999993E-2</v>
      </c>
      <c r="F864">
        <v>0.3901</v>
      </c>
      <c r="G864">
        <v>130</v>
      </c>
      <c r="H864">
        <v>230</v>
      </c>
      <c r="I864">
        <v>32</v>
      </c>
      <c r="J864">
        <v>1</v>
      </c>
      <c r="K864">
        <v>34.774999999999999</v>
      </c>
    </row>
    <row r="865" spans="1:11">
      <c r="A865">
        <v>0.48110000000000003</v>
      </c>
      <c r="B865">
        <v>4.9399999999999999E-2</v>
      </c>
      <c r="C865">
        <v>0</v>
      </c>
      <c r="D865">
        <v>6.7199999999999996E-2</v>
      </c>
      <c r="E865">
        <v>0.1241</v>
      </c>
      <c r="F865">
        <v>0.27810000000000001</v>
      </c>
      <c r="G865">
        <v>70</v>
      </c>
      <c r="H865">
        <v>80</v>
      </c>
      <c r="I865">
        <v>45</v>
      </c>
      <c r="J865">
        <v>1</v>
      </c>
      <c r="K865">
        <v>33.677</v>
      </c>
    </row>
    <row r="866" spans="1:11">
      <c r="A866">
        <v>0.42899999999999999</v>
      </c>
      <c r="B866">
        <v>5.0599999999999999E-2</v>
      </c>
      <c r="C866">
        <v>0.21779999999999999</v>
      </c>
      <c r="D866">
        <v>7.1999999999999998E-3</v>
      </c>
      <c r="E866">
        <v>9.2999999999999992E-3</v>
      </c>
      <c r="F866">
        <v>0.28599999999999998</v>
      </c>
      <c r="G866">
        <v>90</v>
      </c>
      <c r="H866">
        <v>140</v>
      </c>
      <c r="I866">
        <v>42</v>
      </c>
      <c r="J866">
        <v>1</v>
      </c>
      <c r="K866">
        <v>38.61</v>
      </c>
    </row>
    <row r="867" spans="1:11">
      <c r="A867">
        <v>0.50939999999999996</v>
      </c>
      <c r="B867">
        <v>7.1400000000000005E-2</v>
      </c>
      <c r="C867">
        <v>0.16900000000000001</v>
      </c>
      <c r="D867">
        <v>1.7399999999999999E-2</v>
      </c>
      <c r="E867">
        <v>7.0599999999999996E-2</v>
      </c>
      <c r="F867">
        <v>0.16220000000000001</v>
      </c>
      <c r="G867">
        <v>60</v>
      </c>
      <c r="H867">
        <v>130</v>
      </c>
      <c r="I867">
        <v>32</v>
      </c>
      <c r="J867">
        <v>2</v>
      </c>
      <c r="K867">
        <v>30.564</v>
      </c>
    </row>
    <row r="868" spans="1:11">
      <c r="A868">
        <v>0.3327</v>
      </c>
      <c r="B868">
        <v>4.7699999999999999E-2</v>
      </c>
      <c r="C868">
        <v>1.41E-2</v>
      </c>
      <c r="D868">
        <v>2.4199999999999999E-2</v>
      </c>
      <c r="E868">
        <v>0.3054</v>
      </c>
      <c r="F868">
        <v>0.27589999999999998</v>
      </c>
      <c r="G868">
        <v>70</v>
      </c>
      <c r="H868">
        <v>100</v>
      </c>
      <c r="I868">
        <v>32</v>
      </c>
      <c r="J868">
        <v>2</v>
      </c>
      <c r="K868">
        <v>23.289000000000001</v>
      </c>
    </row>
    <row r="869" spans="1:11">
      <c r="A869">
        <v>0.50560000000000005</v>
      </c>
      <c r="B869">
        <v>5.5599999999999997E-2</v>
      </c>
      <c r="C869">
        <v>0.1072</v>
      </c>
      <c r="D869">
        <v>7.6600000000000001E-2</v>
      </c>
      <c r="E869">
        <v>5.0000000000000001E-4</v>
      </c>
      <c r="F869">
        <v>0.25459999999999999</v>
      </c>
      <c r="G869">
        <v>80</v>
      </c>
      <c r="H869">
        <v>110</v>
      </c>
      <c r="I869">
        <v>23</v>
      </c>
      <c r="J869">
        <v>2</v>
      </c>
      <c r="K869">
        <v>40.448</v>
      </c>
    </row>
    <row r="870" spans="1:11">
      <c r="A870">
        <v>0.34060000000000001</v>
      </c>
      <c r="B870">
        <v>8.5900000000000004E-2</v>
      </c>
      <c r="C870">
        <v>6.7100000000000007E-2</v>
      </c>
      <c r="D870">
        <v>1.0800000000000001E-2</v>
      </c>
      <c r="E870">
        <v>0.18870000000000001</v>
      </c>
      <c r="F870">
        <v>0.30690000000000001</v>
      </c>
      <c r="G870">
        <v>190</v>
      </c>
      <c r="H870">
        <v>120</v>
      </c>
      <c r="I870">
        <v>50</v>
      </c>
      <c r="J870">
        <v>1</v>
      </c>
      <c r="K870">
        <v>64.713999999999999</v>
      </c>
    </row>
    <row r="871" spans="1:11">
      <c r="A871">
        <v>0.21110000000000001</v>
      </c>
      <c r="B871">
        <v>5.6899999999999999E-2</v>
      </c>
      <c r="C871">
        <v>0.15160000000000001</v>
      </c>
      <c r="D871">
        <v>9.9900000000000003E-2</v>
      </c>
      <c r="E871">
        <v>8.8599999999999998E-2</v>
      </c>
      <c r="F871">
        <v>0.39190000000000003</v>
      </c>
      <c r="G871">
        <v>110</v>
      </c>
      <c r="H871">
        <v>120</v>
      </c>
      <c r="I871">
        <v>23</v>
      </c>
      <c r="J871">
        <v>1</v>
      </c>
      <c r="K871">
        <v>23.221</v>
      </c>
    </row>
    <row r="872" spans="1:11">
      <c r="A872">
        <v>0.30880000000000002</v>
      </c>
      <c r="B872">
        <v>7.3999999999999996E-2</v>
      </c>
      <c r="C872">
        <v>0.36220000000000002</v>
      </c>
      <c r="D872">
        <v>3.1699999999999999E-2</v>
      </c>
      <c r="E872">
        <v>4.5999999999999999E-2</v>
      </c>
      <c r="F872">
        <v>0.17730000000000001</v>
      </c>
      <c r="G872">
        <v>100</v>
      </c>
      <c r="H872">
        <v>200</v>
      </c>
      <c r="I872">
        <v>42</v>
      </c>
      <c r="J872">
        <v>2</v>
      </c>
      <c r="K872">
        <v>30.88</v>
      </c>
    </row>
    <row r="873" spans="1:11">
      <c r="A873">
        <v>0.432</v>
      </c>
      <c r="B873">
        <v>6.5600000000000006E-2</v>
      </c>
      <c r="C873">
        <v>0.21529999999999999</v>
      </c>
      <c r="D873">
        <v>1.95E-2</v>
      </c>
      <c r="E873">
        <v>7.9000000000000008E-3</v>
      </c>
      <c r="F873">
        <v>0.25969999999999999</v>
      </c>
      <c r="G873">
        <v>90</v>
      </c>
      <c r="H873">
        <v>90</v>
      </c>
      <c r="I873">
        <v>58</v>
      </c>
      <c r="J873">
        <v>1</v>
      </c>
      <c r="K873">
        <v>38.880000000000003</v>
      </c>
    </row>
    <row r="874" spans="1:11">
      <c r="A874">
        <v>0.3553</v>
      </c>
      <c r="B874">
        <v>0.12859999999999999</v>
      </c>
      <c r="C874">
        <v>3.8E-3</v>
      </c>
      <c r="D874">
        <v>0.26800000000000002</v>
      </c>
      <c r="E874">
        <v>2.1700000000000001E-2</v>
      </c>
      <c r="F874">
        <v>0.2225</v>
      </c>
      <c r="G874">
        <v>50</v>
      </c>
      <c r="H874">
        <v>90</v>
      </c>
      <c r="I874">
        <v>28</v>
      </c>
      <c r="J874">
        <v>1</v>
      </c>
      <c r="K874">
        <v>17.765000000000001</v>
      </c>
    </row>
    <row r="875" spans="1:11">
      <c r="A875">
        <v>0.55679999999999996</v>
      </c>
      <c r="B875">
        <v>7.6200000000000004E-2</v>
      </c>
      <c r="C875">
        <v>8.4500000000000006E-2</v>
      </c>
      <c r="D875">
        <v>0</v>
      </c>
      <c r="E875">
        <v>0</v>
      </c>
      <c r="F875">
        <v>0.28260000000000002</v>
      </c>
      <c r="G875">
        <v>80</v>
      </c>
      <c r="H875">
        <v>300</v>
      </c>
      <c r="I875">
        <v>38</v>
      </c>
      <c r="J875">
        <v>2</v>
      </c>
      <c r="K875">
        <v>44.543999999999997</v>
      </c>
    </row>
    <row r="876" spans="1:11">
      <c r="A876">
        <v>0.51859999999999995</v>
      </c>
      <c r="B876">
        <v>8.8499999999999995E-2</v>
      </c>
      <c r="C876">
        <v>4.0000000000000001E-3</v>
      </c>
      <c r="D876">
        <v>0</v>
      </c>
      <c r="E876">
        <v>0.19450000000000001</v>
      </c>
      <c r="F876">
        <v>0.19439999999999999</v>
      </c>
      <c r="G876">
        <v>60</v>
      </c>
      <c r="H876">
        <v>70</v>
      </c>
      <c r="I876">
        <v>40</v>
      </c>
      <c r="J876">
        <v>2</v>
      </c>
      <c r="K876">
        <v>31.116</v>
      </c>
    </row>
    <row r="877" spans="1:11">
      <c r="A877">
        <v>0.29330000000000001</v>
      </c>
      <c r="B877">
        <v>6.83E-2</v>
      </c>
      <c r="C877">
        <v>0</v>
      </c>
      <c r="D877">
        <v>4.8599999999999997E-2</v>
      </c>
      <c r="E877">
        <v>6.5500000000000003E-2</v>
      </c>
      <c r="F877">
        <v>0.5242</v>
      </c>
      <c r="G877">
        <v>60</v>
      </c>
      <c r="H877">
        <v>130</v>
      </c>
      <c r="I877">
        <v>34</v>
      </c>
      <c r="J877">
        <v>2</v>
      </c>
      <c r="K877">
        <v>17.597999999999999</v>
      </c>
    </row>
    <row r="878" spans="1:11">
      <c r="A878">
        <v>0.36670000000000003</v>
      </c>
      <c r="B878">
        <v>4.2099999999999999E-2</v>
      </c>
      <c r="C878">
        <v>5.7299999999999997E-2</v>
      </c>
      <c r="D878">
        <v>4.8800000000000003E-2</v>
      </c>
      <c r="E878">
        <v>0.22639999999999999</v>
      </c>
      <c r="F878">
        <v>0.25869999999999999</v>
      </c>
      <c r="G878">
        <v>100</v>
      </c>
      <c r="H878">
        <v>130</v>
      </c>
      <c r="I878">
        <v>29</v>
      </c>
      <c r="J878">
        <v>2</v>
      </c>
      <c r="K878">
        <v>36.67</v>
      </c>
    </row>
    <row r="879" spans="1:11">
      <c r="A879">
        <v>0.26679999999999998</v>
      </c>
      <c r="B879">
        <v>0.12839999999999999</v>
      </c>
      <c r="C879">
        <v>0.18590000000000001</v>
      </c>
      <c r="D879">
        <v>0.1016</v>
      </c>
      <c r="E879">
        <v>4.2200000000000001E-2</v>
      </c>
      <c r="F879">
        <v>0.2752</v>
      </c>
      <c r="G879">
        <v>80</v>
      </c>
      <c r="H879">
        <v>120</v>
      </c>
      <c r="I879">
        <v>38</v>
      </c>
      <c r="J879">
        <v>2</v>
      </c>
      <c r="K879">
        <v>21.344000000000001</v>
      </c>
    </row>
    <row r="880" spans="1:11">
      <c r="A880">
        <v>0.53100000000000003</v>
      </c>
      <c r="B880">
        <v>8.7599999999999997E-2</v>
      </c>
      <c r="C880">
        <v>0.1162</v>
      </c>
      <c r="D880">
        <v>0</v>
      </c>
      <c r="E880">
        <v>0.12820000000000001</v>
      </c>
      <c r="F880">
        <v>0.13689999999999999</v>
      </c>
      <c r="G880">
        <v>70</v>
      </c>
      <c r="H880">
        <v>130</v>
      </c>
      <c r="I880">
        <v>27</v>
      </c>
      <c r="J880">
        <v>1</v>
      </c>
      <c r="K880">
        <v>37.17</v>
      </c>
    </row>
    <row r="881" spans="1:11">
      <c r="A881">
        <v>0.56689999999999996</v>
      </c>
      <c r="B881">
        <v>0.1249</v>
      </c>
      <c r="C881">
        <v>0</v>
      </c>
      <c r="D881">
        <v>0</v>
      </c>
      <c r="E881">
        <v>1.1599999999999999E-2</v>
      </c>
      <c r="F881">
        <v>0.29670000000000002</v>
      </c>
      <c r="G881">
        <v>40</v>
      </c>
      <c r="H881">
        <v>80</v>
      </c>
      <c r="I881">
        <v>48</v>
      </c>
      <c r="J881">
        <v>1</v>
      </c>
      <c r="K881">
        <v>22.675999999999998</v>
      </c>
    </row>
    <row r="882" spans="1:11">
      <c r="A882">
        <v>0.35780000000000001</v>
      </c>
      <c r="B882">
        <v>0.2457</v>
      </c>
      <c r="C882">
        <v>3.8100000000000002E-2</v>
      </c>
      <c r="D882">
        <v>0.1459</v>
      </c>
      <c r="E882">
        <v>1.9E-2</v>
      </c>
      <c r="F882">
        <v>0.19350000000000001</v>
      </c>
      <c r="G882">
        <v>100</v>
      </c>
      <c r="H882">
        <v>110</v>
      </c>
      <c r="I882">
        <v>31</v>
      </c>
      <c r="J882">
        <v>1</v>
      </c>
      <c r="K882">
        <v>35.78</v>
      </c>
    </row>
    <row r="883" spans="1:11">
      <c r="A883">
        <v>0.3795</v>
      </c>
      <c r="B883">
        <v>5.4699999999999999E-2</v>
      </c>
      <c r="C883">
        <v>6.4199999999999993E-2</v>
      </c>
      <c r="D883">
        <v>5.9200000000000003E-2</v>
      </c>
      <c r="E883">
        <v>0.21329999999999999</v>
      </c>
      <c r="F883">
        <v>0.2291</v>
      </c>
      <c r="G883">
        <v>80</v>
      </c>
      <c r="H883">
        <v>100</v>
      </c>
      <c r="I883">
        <v>31</v>
      </c>
      <c r="J883">
        <v>2</v>
      </c>
      <c r="K883">
        <v>30.36</v>
      </c>
    </row>
    <row r="884" spans="1:11">
      <c r="A884">
        <v>0.39779999999999999</v>
      </c>
      <c r="B884">
        <v>4.5600000000000002E-2</v>
      </c>
      <c r="C884">
        <v>0.26450000000000001</v>
      </c>
      <c r="D884">
        <v>4.7800000000000002E-2</v>
      </c>
      <c r="E884">
        <v>6.7900000000000002E-2</v>
      </c>
      <c r="F884">
        <v>0.1764</v>
      </c>
      <c r="G884">
        <v>100</v>
      </c>
      <c r="H884">
        <v>120</v>
      </c>
      <c r="I884">
        <v>44</v>
      </c>
      <c r="J884">
        <v>2</v>
      </c>
      <c r="K884">
        <v>39.78</v>
      </c>
    </row>
    <row r="885" spans="1:11">
      <c r="A885">
        <v>0.33710000000000001</v>
      </c>
      <c r="B885">
        <v>0.1275</v>
      </c>
      <c r="C885">
        <v>0.1988</v>
      </c>
      <c r="D885">
        <v>5.1499999999999997E-2</v>
      </c>
      <c r="E885">
        <v>4.7300000000000002E-2</v>
      </c>
      <c r="F885">
        <v>0.2379</v>
      </c>
      <c r="G885">
        <v>150</v>
      </c>
      <c r="H885">
        <v>160</v>
      </c>
      <c r="I885">
        <v>26</v>
      </c>
      <c r="J885">
        <v>2</v>
      </c>
      <c r="K885">
        <v>50.564999999999998</v>
      </c>
    </row>
    <row r="886" spans="1:11">
      <c r="A886">
        <v>0.19839999999999999</v>
      </c>
      <c r="B886">
        <v>3.1800000000000002E-2</v>
      </c>
      <c r="C886">
        <v>0.2198</v>
      </c>
      <c r="D886">
        <v>0.19270000000000001</v>
      </c>
      <c r="E886">
        <v>6.9599999999999995E-2</v>
      </c>
      <c r="F886">
        <v>0.28760000000000002</v>
      </c>
      <c r="G886">
        <v>160</v>
      </c>
      <c r="H886">
        <v>200</v>
      </c>
      <c r="I886">
        <v>45</v>
      </c>
      <c r="J886">
        <v>1</v>
      </c>
      <c r="K886">
        <v>31.744</v>
      </c>
    </row>
    <row r="887" spans="1:11">
      <c r="A887">
        <v>0.29730000000000001</v>
      </c>
      <c r="B887">
        <v>5.3100000000000001E-2</v>
      </c>
      <c r="C887">
        <v>0.36120000000000002</v>
      </c>
      <c r="D887">
        <v>9.4899999999999998E-2</v>
      </c>
      <c r="E887">
        <v>7.6399999999999996E-2</v>
      </c>
      <c r="F887">
        <v>0.11700000000000001</v>
      </c>
      <c r="G887">
        <v>90</v>
      </c>
      <c r="H887">
        <v>130</v>
      </c>
      <c r="I887">
        <v>22</v>
      </c>
      <c r="J887">
        <v>2</v>
      </c>
      <c r="K887">
        <v>26.757000000000001</v>
      </c>
    </row>
    <row r="888" spans="1:11">
      <c r="A888">
        <v>0.36870000000000003</v>
      </c>
      <c r="B888">
        <v>5.9200000000000003E-2</v>
      </c>
      <c r="C888">
        <v>2.4E-2</v>
      </c>
      <c r="D888">
        <v>0.15310000000000001</v>
      </c>
      <c r="E888">
        <v>5.96E-2</v>
      </c>
      <c r="F888">
        <v>0.33539999999999998</v>
      </c>
      <c r="G888">
        <v>100</v>
      </c>
      <c r="H888">
        <v>180</v>
      </c>
      <c r="I888">
        <v>31</v>
      </c>
      <c r="J888">
        <v>2</v>
      </c>
      <c r="K888">
        <v>36.869999999999997</v>
      </c>
    </row>
    <row r="889" spans="1:11">
      <c r="A889">
        <v>0.34899999999999998</v>
      </c>
      <c r="B889">
        <v>4.4299999999999999E-2</v>
      </c>
      <c r="C889">
        <v>9.7799999999999998E-2</v>
      </c>
      <c r="D889">
        <v>0.1178</v>
      </c>
      <c r="E889">
        <v>0.18579999999999999</v>
      </c>
      <c r="F889">
        <v>0.2054</v>
      </c>
      <c r="G889">
        <v>120</v>
      </c>
      <c r="H889">
        <v>90</v>
      </c>
      <c r="I889">
        <v>23</v>
      </c>
      <c r="J889">
        <v>2</v>
      </c>
      <c r="K889">
        <v>41.88</v>
      </c>
    </row>
    <row r="890" spans="1:11">
      <c r="A890">
        <v>0.35310000000000002</v>
      </c>
      <c r="B890">
        <v>3.7999999999999999E-2</v>
      </c>
      <c r="C890">
        <v>9.9599999999999994E-2</v>
      </c>
      <c r="D890">
        <v>5.7799999999999997E-2</v>
      </c>
      <c r="E890">
        <v>0.12540000000000001</v>
      </c>
      <c r="F890">
        <v>0.3261</v>
      </c>
      <c r="G890">
        <v>100</v>
      </c>
      <c r="H890">
        <v>90</v>
      </c>
      <c r="I890">
        <v>26</v>
      </c>
      <c r="J890">
        <v>1</v>
      </c>
      <c r="K890">
        <v>35.31</v>
      </c>
    </row>
    <row r="891" spans="1:11">
      <c r="A891">
        <v>0.36840000000000001</v>
      </c>
      <c r="B891">
        <v>5.9900000000000002E-2</v>
      </c>
      <c r="C891">
        <v>0.1653</v>
      </c>
      <c r="D891">
        <v>0.157</v>
      </c>
      <c r="E891">
        <v>6.0900000000000003E-2</v>
      </c>
      <c r="F891">
        <v>0.18840000000000001</v>
      </c>
      <c r="G891">
        <v>130</v>
      </c>
      <c r="H891">
        <v>150</v>
      </c>
      <c r="I891">
        <v>34</v>
      </c>
      <c r="J891">
        <v>1</v>
      </c>
      <c r="K891">
        <v>47.892000000000003</v>
      </c>
    </row>
    <row r="892" spans="1:11">
      <c r="A892">
        <v>0.44040000000000001</v>
      </c>
      <c r="B892">
        <v>0.10639999999999999</v>
      </c>
      <c r="C892">
        <v>1.17E-2</v>
      </c>
      <c r="D892">
        <v>4.4200000000000003E-2</v>
      </c>
      <c r="E892">
        <v>0.14130000000000001</v>
      </c>
      <c r="F892">
        <v>0.25600000000000001</v>
      </c>
      <c r="G892">
        <v>70</v>
      </c>
      <c r="H892">
        <v>120</v>
      </c>
      <c r="I892">
        <v>48</v>
      </c>
      <c r="J892">
        <v>1</v>
      </c>
      <c r="K892">
        <v>30.827999999999999</v>
      </c>
    </row>
    <row r="893" spans="1:11">
      <c r="A893">
        <v>0.32429999999999998</v>
      </c>
      <c r="B893">
        <v>0.115</v>
      </c>
      <c r="C893">
        <v>1.6400000000000001E-2</v>
      </c>
      <c r="D893">
        <v>0.1933</v>
      </c>
      <c r="E893">
        <v>0.18190000000000001</v>
      </c>
      <c r="F893">
        <v>0.16900000000000001</v>
      </c>
      <c r="G893">
        <v>110</v>
      </c>
      <c r="H893">
        <v>180</v>
      </c>
      <c r="I893">
        <v>37</v>
      </c>
      <c r="J893">
        <v>2</v>
      </c>
      <c r="K893">
        <v>35.673000000000002</v>
      </c>
    </row>
    <row r="894" spans="1:11">
      <c r="A894">
        <v>0.2477</v>
      </c>
      <c r="B894">
        <v>8.5300000000000001E-2</v>
      </c>
      <c r="C894">
        <v>0.1303</v>
      </c>
      <c r="D894">
        <v>6.2300000000000001E-2</v>
      </c>
      <c r="E894">
        <v>0.1207</v>
      </c>
      <c r="F894">
        <v>0.35360000000000003</v>
      </c>
      <c r="G894">
        <v>100</v>
      </c>
      <c r="H894">
        <v>110</v>
      </c>
      <c r="I894">
        <v>41</v>
      </c>
      <c r="J894">
        <v>2</v>
      </c>
      <c r="K894">
        <v>24.77</v>
      </c>
    </row>
    <row r="895" spans="1:11">
      <c r="A895">
        <v>0.2044</v>
      </c>
      <c r="B895">
        <v>7.4999999999999997E-2</v>
      </c>
      <c r="C895">
        <v>9.4000000000000004E-3</v>
      </c>
      <c r="D895">
        <v>0.32879999999999998</v>
      </c>
      <c r="E895">
        <v>0.13739999999999999</v>
      </c>
      <c r="F895">
        <v>0.245</v>
      </c>
      <c r="G895">
        <v>80</v>
      </c>
      <c r="H895">
        <v>90</v>
      </c>
      <c r="I895">
        <v>25</v>
      </c>
      <c r="J895">
        <v>1</v>
      </c>
      <c r="K895">
        <v>16.352</v>
      </c>
    </row>
    <row r="896" spans="1:11">
      <c r="A896">
        <v>0.35499999999999998</v>
      </c>
      <c r="B896">
        <v>7.6399999999999996E-2</v>
      </c>
      <c r="C896">
        <v>5.1999999999999998E-2</v>
      </c>
      <c r="D896">
        <v>6.6900000000000001E-2</v>
      </c>
      <c r="E896">
        <v>9.1200000000000003E-2</v>
      </c>
      <c r="F896">
        <v>0.3584</v>
      </c>
      <c r="G896">
        <v>140</v>
      </c>
      <c r="H896">
        <v>220</v>
      </c>
      <c r="I896">
        <v>38</v>
      </c>
      <c r="J896">
        <v>2</v>
      </c>
      <c r="K896">
        <v>49.7</v>
      </c>
    </row>
    <row r="897" spans="1:11">
      <c r="A897">
        <v>0.13439999999999999</v>
      </c>
      <c r="B897">
        <v>7.7700000000000005E-2</v>
      </c>
      <c r="C897">
        <v>2.5100000000000001E-2</v>
      </c>
      <c r="D897">
        <v>8.5000000000000006E-3</v>
      </c>
      <c r="E897">
        <v>0.41460000000000002</v>
      </c>
      <c r="F897">
        <v>0.3397</v>
      </c>
      <c r="G897">
        <v>120</v>
      </c>
      <c r="H897">
        <v>90</v>
      </c>
      <c r="I897">
        <v>40</v>
      </c>
      <c r="J897">
        <v>1</v>
      </c>
      <c r="K897">
        <v>16.128</v>
      </c>
    </row>
    <row r="898" spans="1:11">
      <c r="A898">
        <v>0.35489999999999999</v>
      </c>
      <c r="B898">
        <v>6.88E-2</v>
      </c>
      <c r="C898">
        <v>0.23269999999999999</v>
      </c>
      <c r="D898">
        <v>6.6299999999999998E-2</v>
      </c>
      <c r="E898">
        <v>2.4799999999999999E-2</v>
      </c>
      <c r="F898">
        <v>0.2525</v>
      </c>
      <c r="G898">
        <v>80</v>
      </c>
      <c r="H898">
        <v>130</v>
      </c>
      <c r="I898">
        <v>31</v>
      </c>
      <c r="J898">
        <v>2</v>
      </c>
      <c r="K898">
        <v>28.391999999999999</v>
      </c>
    </row>
    <row r="899" spans="1:11">
      <c r="A899">
        <v>0.3851</v>
      </c>
      <c r="B899">
        <v>4.3700000000000003E-2</v>
      </c>
      <c r="C899">
        <v>8.2400000000000001E-2</v>
      </c>
      <c r="D899">
        <v>0.17699999999999999</v>
      </c>
      <c r="E899">
        <v>0.11650000000000001</v>
      </c>
      <c r="F899">
        <v>0.19520000000000001</v>
      </c>
      <c r="G899">
        <v>100</v>
      </c>
      <c r="H899">
        <v>110</v>
      </c>
      <c r="I899">
        <v>27</v>
      </c>
      <c r="J899">
        <v>1</v>
      </c>
      <c r="K899">
        <v>38.51</v>
      </c>
    </row>
    <row r="900" spans="1:11">
      <c r="A900">
        <v>0.25940000000000002</v>
      </c>
      <c r="B900">
        <v>5.1900000000000002E-2</v>
      </c>
      <c r="C900">
        <v>0.24970000000000001</v>
      </c>
      <c r="D900">
        <v>9.35E-2</v>
      </c>
      <c r="E900">
        <v>7.5899999999999995E-2</v>
      </c>
      <c r="F900">
        <v>0.26960000000000001</v>
      </c>
      <c r="G900">
        <v>100</v>
      </c>
      <c r="H900">
        <v>110</v>
      </c>
      <c r="I900">
        <v>24</v>
      </c>
      <c r="J900">
        <v>1</v>
      </c>
      <c r="K900">
        <v>25.94</v>
      </c>
    </row>
    <row r="901" spans="1:11">
      <c r="A901">
        <v>0.49830000000000002</v>
      </c>
      <c r="B901">
        <v>0.13589999999999999</v>
      </c>
      <c r="C901">
        <v>0</v>
      </c>
      <c r="D901">
        <v>0.16489999999999999</v>
      </c>
      <c r="E901">
        <v>7.7899999999999997E-2</v>
      </c>
      <c r="F901">
        <v>0.123</v>
      </c>
      <c r="G901">
        <v>80</v>
      </c>
      <c r="H901">
        <v>330</v>
      </c>
      <c r="I901">
        <v>38</v>
      </c>
      <c r="J901">
        <v>2</v>
      </c>
      <c r="K901">
        <v>39.863999999999997</v>
      </c>
    </row>
    <row r="902" spans="1:11">
      <c r="A902">
        <v>0.2873</v>
      </c>
      <c r="B902">
        <v>5.0099999999999999E-2</v>
      </c>
      <c r="C902">
        <v>0.1905</v>
      </c>
      <c r="D902">
        <v>0.19919999999999999</v>
      </c>
      <c r="E902">
        <v>1.2800000000000001E-2</v>
      </c>
      <c r="F902">
        <v>0.2601</v>
      </c>
      <c r="G902">
        <v>90</v>
      </c>
      <c r="H902">
        <v>120</v>
      </c>
      <c r="I902">
        <v>29</v>
      </c>
      <c r="J902">
        <v>1</v>
      </c>
      <c r="K902">
        <v>25.856999999999999</v>
      </c>
    </row>
    <row r="903" spans="1:11">
      <c r="A903">
        <v>0.19819999999999999</v>
      </c>
      <c r="B903">
        <v>3.8800000000000001E-2</v>
      </c>
      <c r="C903">
        <v>0.1797</v>
      </c>
      <c r="D903">
        <v>8.43E-2</v>
      </c>
      <c r="E903">
        <v>0.18290000000000001</v>
      </c>
      <c r="F903">
        <v>0.31609999999999999</v>
      </c>
      <c r="G903">
        <v>130</v>
      </c>
      <c r="H903">
        <v>160</v>
      </c>
      <c r="I903">
        <v>40</v>
      </c>
      <c r="J903">
        <v>2</v>
      </c>
      <c r="K903">
        <v>25.765999999999998</v>
      </c>
    </row>
    <row r="904" spans="1:11">
      <c r="A904">
        <v>0.39600000000000002</v>
      </c>
      <c r="B904">
        <v>8.1900000000000001E-2</v>
      </c>
      <c r="C904">
        <v>6.4600000000000005E-2</v>
      </c>
      <c r="D904">
        <v>0</v>
      </c>
      <c r="E904">
        <v>6.4399999999999999E-2</v>
      </c>
      <c r="F904">
        <v>0.39300000000000002</v>
      </c>
      <c r="G904">
        <v>50</v>
      </c>
      <c r="H904">
        <v>160</v>
      </c>
      <c r="I904">
        <v>32</v>
      </c>
      <c r="J904">
        <v>2</v>
      </c>
      <c r="K904">
        <v>19.8</v>
      </c>
    </row>
    <row r="905" spans="1:11">
      <c r="A905">
        <v>0.51539999999999997</v>
      </c>
      <c r="B905">
        <v>7.51E-2</v>
      </c>
      <c r="C905">
        <v>0.15740000000000001</v>
      </c>
      <c r="D905">
        <v>7.0800000000000002E-2</v>
      </c>
      <c r="E905">
        <v>2.4E-2</v>
      </c>
      <c r="F905">
        <v>0.15720000000000001</v>
      </c>
      <c r="G905">
        <v>80</v>
      </c>
      <c r="H905">
        <v>90</v>
      </c>
      <c r="I905">
        <v>37</v>
      </c>
      <c r="J905">
        <v>2</v>
      </c>
      <c r="K905">
        <v>41.231999999999999</v>
      </c>
    </row>
    <row r="906" spans="1:11">
      <c r="A906">
        <v>0.28179999999999999</v>
      </c>
      <c r="B906">
        <v>0.126</v>
      </c>
      <c r="C906">
        <v>2.6700000000000002E-2</v>
      </c>
      <c r="D906">
        <v>0.10580000000000001</v>
      </c>
      <c r="E906">
        <v>0.22320000000000001</v>
      </c>
      <c r="F906">
        <v>0.23649999999999999</v>
      </c>
      <c r="G906">
        <v>130</v>
      </c>
      <c r="H906">
        <v>330</v>
      </c>
      <c r="I906">
        <v>36</v>
      </c>
      <c r="J906">
        <v>1</v>
      </c>
      <c r="K906">
        <v>36.634</v>
      </c>
    </row>
    <row r="907" spans="1:11">
      <c r="A907">
        <v>0.42559999999999998</v>
      </c>
      <c r="B907">
        <v>5.8299999999999998E-2</v>
      </c>
      <c r="C907">
        <v>0.16139999999999999</v>
      </c>
      <c r="D907">
        <v>5.6800000000000003E-2</v>
      </c>
      <c r="E907">
        <v>3.7000000000000002E-3</v>
      </c>
      <c r="F907">
        <v>0.29420000000000002</v>
      </c>
      <c r="G907">
        <v>70</v>
      </c>
      <c r="H907">
        <v>100</v>
      </c>
      <c r="I907">
        <v>34</v>
      </c>
      <c r="J907">
        <v>2</v>
      </c>
      <c r="K907">
        <v>29.792000000000002</v>
      </c>
    </row>
    <row r="908" spans="1:11">
      <c r="A908">
        <v>0.25990000000000002</v>
      </c>
      <c r="B908">
        <v>6.3899999999999998E-2</v>
      </c>
      <c r="C908">
        <v>8.0000000000000002E-3</v>
      </c>
      <c r="D908">
        <v>0</v>
      </c>
      <c r="E908">
        <v>0.1401</v>
      </c>
      <c r="F908">
        <v>0.52810000000000001</v>
      </c>
      <c r="G908">
        <v>60</v>
      </c>
      <c r="H908">
        <v>170</v>
      </c>
      <c r="I908">
        <v>43</v>
      </c>
      <c r="J908">
        <v>1</v>
      </c>
      <c r="K908">
        <v>15.593999999999999</v>
      </c>
    </row>
    <row r="909" spans="1:11">
      <c r="A909">
        <v>0.33179999999999998</v>
      </c>
      <c r="B909">
        <v>3.6200000000000003E-2</v>
      </c>
      <c r="C909">
        <v>9.9099999999999994E-2</v>
      </c>
      <c r="D909">
        <v>4.5900000000000003E-2</v>
      </c>
      <c r="E909">
        <v>7.4499999999999997E-2</v>
      </c>
      <c r="F909">
        <v>0.41249999999999998</v>
      </c>
      <c r="G909">
        <v>140</v>
      </c>
      <c r="H909">
        <v>210</v>
      </c>
      <c r="I909">
        <v>35</v>
      </c>
      <c r="J909">
        <v>2</v>
      </c>
      <c r="K909">
        <v>46.451999999999998</v>
      </c>
    </row>
    <row r="910" spans="1:11">
      <c r="A910">
        <v>0.26700000000000002</v>
      </c>
      <c r="B910">
        <v>5.5800000000000002E-2</v>
      </c>
      <c r="C910">
        <v>8.5300000000000001E-2</v>
      </c>
      <c r="D910">
        <v>0.21479999999999999</v>
      </c>
      <c r="E910">
        <v>4.5999999999999999E-2</v>
      </c>
      <c r="F910">
        <v>0.33119999999999999</v>
      </c>
      <c r="G910">
        <v>70</v>
      </c>
      <c r="H910">
        <v>110</v>
      </c>
      <c r="I910">
        <v>33</v>
      </c>
      <c r="J910">
        <v>2</v>
      </c>
      <c r="K910">
        <v>18.690000000000001</v>
      </c>
    </row>
    <row r="911" spans="1:11">
      <c r="A911">
        <v>0.17519999999999999</v>
      </c>
      <c r="B911">
        <v>5.8000000000000003E-2</v>
      </c>
      <c r="C911">
        <v>0.13200000000000001</v>
      </c>
      <c r="D911">
        <v>0</v>
      </c>
      <c r="E911">
        <v>0.23530000000000001</v>
      </c>
      <c r="F911">
        <v>0.39960000000000001</v>
      </c>
      <c r="G911">
        <v>70</v>
      </c>
      <c r="H911">
        <v>70</v>
      </c>
      <c r="I911">
        <v>37</v>
      </c>
      <c r="J911">
        <v>1</v>
      </c>
      <c r="K911">
        <v>12.263999999999999</v>
      </c>
    </row>
    <row r="912" spans="1:11">
      <c r="A912">
        <v>0.2329</v>
      </c>
      <c r="B912">
        <v>0.1222</v>
      </c>
      <c r="C912">
        <v>1.9E-3</v>
      </c>
      <c r="D912">
        <v>0.28239999999999998</v>
      </c>
      <c r="E912">
        <v>8.6999999999999994E-3</v>
      </c>
      <c r="F912">
        <v>0.35199999999999998</v>
      </c>
      <c r="G912">
        <v>60</v>
      </c>
      <c r="H912">
        <v>90</v>
      </c>
      <c r="I912">
        <v>30</v>
      </c>
      <c r="J912">
        <v>2</v>
      </c>
      <c r="K912">
        <v>13.974</v>
      </c>
    </row>
    <row r="913" spans="1:11">
      <c r="A913">
        <v>0.37409999999999999</v>
      </c>
      <c r="B913">
        <v>7.1300000000000002E-2</v>
      </c>
      <c r="C913">
        <v>5.0299999999999997E-2</v>
      </c>
      <c r="D913">
        <v>0.20030000000000001</v>
      </c>
      <c r="E913">
        <v>7.3899999999999993E-2</v>
      </c>
      <c r="F913">
        <v>0.23019999999999999</v>
      </c>
      <c r="G913">
        <v>70</v>
      </c>
      <c r="H913">
        <v>110</v>
      </c>
      <c r="I913">
        <v>28</v>
      </c>
      <c r="J913">
        <v>2</v>
      </c>
      <c r="K913">
        <v>26.187000000000001</v>
      </c>
    </row>
    <row r="914" spans="1:11">
      <c r="A914">
        <v>0.34279999999999999</v>
      </c>
      <c r="B914">
        <v>0.10059999999999999</v>
      </c>
      <c r="C914">
        <v>3.8600000000000002E-2</v>
      </c>
      <c r="D914">
        <v>5.5399999999999998E-2</v>
      </c>
      <c r="E914">
        <v>0.16289999999999999</v>
      </c>
      <c r="F914">
        <v>0.29970000000000002</v>
      </c>
      <c r="G914">
        <v>90</v>
      </c>
      <c r="H914">
        <v>90</v>
      </c>
      <c r="I914">
        <v>44</v>
      </c>
      <c r="J914">
        <v>2</v>
      </c>
      <c r="K914">
        <v>30.852</v>
      </c>
    </row>
    <row r="915" spans="1:11">
      <c r="A915">
        <v>0.33389999999999997</v>
      </c>
      <c r="B915">
        <v>5.9400000000000001E-2</v>
      </c>
      <c r="C915">
        <v>6.1999999999999998E-3</v>
      </c>
      <c r="D915">
        <v>9.1600000000000001E-2</v>
      </c>
      <c r="E915">
        <v>5.2999999999999999E-2</v>
      </c>
      <c r="F915">
        <v>0.45590000000000003</v>
      </c>
      <c r="G915">
        <v>100</v>
      </c>
      <c r="H915">
        <v>150</v>
      </c>
      <c r="I915">
        <v>33</v>
      </c>
      <c r="J915">
        <v>2</v>
      </c>
      <c r="K915">
        <v>33.39</v>
      </c>
    </row>
    <row r="916" spans="1:11">
      <c r="A916">
        <v>0.37030000000000002</v>
      </c>
      <c r="B916">
        <v>5.3699999999999998E-2</v>
      </c>
      <c r="C916">
        <v>0.16850000000000001</v>
      </c>
      <c r="D916">
        <v>5.6800000000000003E-2</v>
      </c>
      <c r="E916">
        <v>5.6899999999999999E-2</v>
      </c>
      <c r="F916">
        <v>0.29370000000000002</v>
      </c>
      <c r="G916">
        <v>70</v>
      </c>
      <c r="H916">
        <v>150</v>
      </c>
      <c r="I916">
        <v>38</v>
      </c>
      <c r="J916">
        <v>1</v>
      </c>
      <c r="K916">
        <v>25.920999999999999</v>
      </c>
    </row>
    <row r="917" spans="1:11">
      <c r="A917">
        <v>0.191</v>
      </c>
      <c r="B917">
        <v>4.4299999999999999E-2</v>
      </c>
      <c r="C917">
        <v>0.22020000000000001</v>
      </c>
      <c r="D917">
        <v>2.46E-2</v>
      </c>
      <c r="E917">
        <v>0.31630000000000003</v>
      </c>
      <c r="F917">
        <v>0.2036</v>
      </c>
      <c r="G917">
        <v>160</v>
      </c>
      <c r="H917">
        <v>130</v>
      </c>
      <c r="I917">
        <v>31</v>
      </c>
      <c r="J917">
        <v>2</v>
      </c>
      <c r="K917">
        <v>30.56</v>
      </c>
    </row>
    <row r="918" spans="1:11">
      <c r="A918">
        <v>0.33760000000000001</v>
      </c>
      <c r="B918">
        <v>6.5000000000000002E-2</v>
      </c>
      <c r="C918">
        <v>1.9E-3</v>
      </c>
      <c r="D918">
        <v>0.19109999999999999</v>
      </c>
      <c r="E918">
        <v>0.1056</v>
      </c>
      <c r="F918">
        <v>0.29870000000000002</v>
      </c>
      <c r="G918">
        <v>110</v>
      </c>
      <c r="H918">
        <v>130</v>
      </c>
      <c r="I918">
        <v>39</v>
      </c>
      <c r="J918">
        <v>2</v>
      </c>
      <c r="K918">
        <v>37.136000000000003</v>
      </c>
    </row>
    <row r="919" spans="1:11">
      <c r="A919">
        <v>0.19900000000000001</v>
      </c>
      <c r="B919">
        <v>6.4100000000000004E-2</v>
      </c>
      <c r="C919">
        <v>4.0800000000000003E-2</v>
      </c>
      <c r="D919">
        <v>0.22339999999999999</v>
      </c>
      <c r="E919">
        <v>0.26119999999999999</v>
      </c>
      <c r="F919">
        <v>0.21149999999999999</v>
      </c>
      <c r="G919">
        <v>90</v>
      </c>
      <c r="H919">
        <v>110</v>
      </c>
      <c r="I919">
        <v>25</v>
      </c>
      <c r="J919">
        <v>1</v>
      </c>
      <c r="K919">
        <v>17.91</v>
      </c>
    </row>
    <row r="920" spans="1:11">
      <c r="A920">
        <v>0.38640000000000002</v>
      </c>
      <c r="B920">
        <v>6.7400000000000002E-2</v>
      </c>
      <c r="C920">
        <v>3.0599999999999999E-2</v>
      </c>
      <c r="D920">
        <v>0.20730000000000001</v>
      </c>
      <c r="E920">
        <v>8.8999999999999996E-2</v>
      </c>
      <c r="F920">
        <v>0.21929999999999999</v>
      </c>
      <c r="G920">
        <v>90</v>
      </c>
      <c r="H920">
        <v>160</v>
      </c>
      <c r="I920">
        <v>35</v>
      </c>
      <c r="J920">
        <v>2</v>
      </c>
      <c r="K920">
        <v>34.776000000000003</v>
      </c>
    </row>
    <row r="921" spans="1:11">
      <c r="A921">
        <v>0.28960000000000002</v>
      </c>
      <c r="B921">
        <v>6.3700000000000007E-2</v>
      </c>
      <c r="C921">
        <v>0.15459999999999999</v>
      </c>
      <c r="D921">
        <v>0.13170000000000001</v>
      </c>
      <c r="E921">
        <v>0.1091</v>
      </c>
      <c r="F921">
        <v>0.25130000000000002</v>
      </c>
      <c r="G921">
        <v>70</v>
      </c>
      <c r="H921">
        <v>140</v>
      </c>
      <c r="I921">
        <v>38</v>
      </c>
      <c r="J921">
        <v>1</v>
      </c>
      <c r="K921">
        <v>20.271999999999998</v>
      </c>
    </row>
    <row r="922" spans="1:11">
      <c r="A922">
        <v>0.23</v>
      </c>
      <c r="B922">
        <v>0.29770000000000002</v>
      </c>
      <c r="C922">
        <v>2.8500000000000001E-2</v>
      </c>
      <c r="D922">
        <v>1.41E-2</v>
      </c>
      <c r="E922">
        <v>3.0000000000000001E-3</v>
      </c>
      <c r="F922">
        <v>0.42680000000000001</v>
      </c>
      <c r="G922">
        <v>70</v>
      </c>
      <c r="H922">
        <v>130</v>
      </c>
      <c r="I922">
        <v>36</v>
      </c>
      <c r="J922">
        <v>2</v>
      </c>
      <c r="K922">
        <v>16.100000000000001</v>
      </c>
    </row>
    <row r="923" spans="1:11">
      <c r="A923">
        <v>0.18149999999999999</v>
      </c>
      <c r="B923">
        <v>7.6100000000000001E-2</v>
      </c>
      <c r="C923">
        <v>0.11990000000000001</v>
      </c>
      <c r="D923">
        <v>0.3952</v>
      </c>
      <c r="E923">
        <v>2.93E-2</v>
      </c>
      <c r="F923">
        <v>0.19789999999999999</v>
      </c>
      <c r="G923">
        <v>70</v>
      </c>
      <c r="H923">
        <v>90</v>
      </c>
      <c r="I923">
        <v>43</v>
      </c>
      <c r="J923">
        <v>1</v>
      </c>
      <c r="K923">
        <v>12.705</v>
      </c>
    </row>
    <row r="924" spans="1:11">
      <c r="A924">
        <v>0.54059999999999997</v>
      </c>
      <c r="B924">
        <v>0.15310000000000001</v>
      </c>
      <c r="C924">
        <v>0</v>
      </c>
      <c r="D924">
        <v>1.6400000000000001E-2</v>
      </c>
      <c r="E924">
        <v>0.11840000000000001</v>
      </c>
      <c r="F924">
        <v>0.1716</v>
      </c>
      <c r="G924">
        <v>70</v>
      </c>
      <c r="H924">
        <v>140</v>
      </c>
      <c r="I924">
        <v>57</v>
      </c>
      <c r="J924">
        <v>1</v>
      </c>
      <c r="K924">
        <v>37.841999999999999</v>
      </c>
    </row>
    <row r="925" spans="1:11">
      <c r="A925">
        <v>0.52149999999999996</v>
      </c>
      <c r="B925">
        <v>8.6199999999999999E-2</v>
      </c>
      <c r="C925">
        <v>0.13880000000000001</v>
      </c>
      <c r="D925">
        <v>2.41E-2</v>
      </c>
      <c r="E925">
        <v>2.3599999999999999E-2</v>
      </c>
      <c r="F925">
        <v>0.20580000000000001</v>
      </c>
      <c r="G925">
        <v>50</v>
      </c>
      <c r="H925">
        <v>100</v>
      </c>
      <c r="I925">
        <v>30</v>
      </c>
      <c r="J925">
        <v>2</v>
      </c>
      <c r="K925">
        <v>26.074999999999999</v>
      </c>
    </row>
    <row r="926" spans="1:11">
      <c r="A926">
        <v>0.39500000000000002</v>
      </c>
      <c r="B926">
        <v>0.1047</v>
      </c>
      <c r="C926">
        <v>0</v>
      </c>
      <c r="D926">
        <v>0.08</v>
      </c>
      <c r="E926">
        <v>0.25559999999999999</v>
      </c>
      <c r="F926">
        <v>0.16470000000000001</v>
      </c>
      <c r="G926">
        <v>50</v>
      </c>
      <c r="H926">
        <v>80</v>
      </c>
      <c r="I926">
        <v>27</v>
      </c>
      <c r="J926">
        <v>1</v>
      </c>
      <c r="K926">
        <v>19.75</v>
      </c>
    </row>
    <row r="927" spans="1:11">
      <c r="A927">
        <v>0.41020000000000001</v>
      </c>
      <c r="B927">
        <v>6.9599999999999995E-2</v>
      </c>
      <c r="C927">
        <v>0.12609999999999999</v>
      </c>
      <c r="D927">
        <v>0</v>
      </c>
      <c r="E927">
        <v>4.5199999999999997E-2</v>
      </c>
      <c r="F927">
        <v>0.34889999999999999</v>
      </c>
      <c r="G927">
        <v>70</v>
      </c>
      <c r="H927">
        <v>90</v>
      </c>
      <c r="I927">
        <v>36</v>
      </c>
      <c r="J927">
        <v>2</v>
      </c>
      <c r="K927">
        <v>28.713999999999999</v>
      </c>
    </row>
    <row r="928" spans="1:11">
      <c r="A928">
        <v>0.2412</v>
      </c>
      <c r="B928">
        <v>6.5500000000000003E-2</v>
      </c>
      <c r="C928">
        <v>0.30580000000000002</v>
      </c>
      <c r="D928">
        <v>0.27910000000000001</v>
      </c>
      <c r="E928">
        <v>6.9999999999999999E-4</v>
      </c>
      <c r="F928">
        <v>0.1077</v>
      </c>
      <c r="G928">
        <v>160</v>
      </c>
      <c r="H928">
        <v>70</v>
      </c>
      <c r="I928">
        <v>27</v>
      </c>
      <c r="J928">
        <v>1</v>
      </c>
      <c r="K928">
        <v>38.591999999999999</v>
      </c>
    </row>
    <row r="929" spans="1:11">
      <c r="A929">
        <v>0.2581</v>
      </c>
      <c r="B929">
        <v>4.5199999999999997E-2</v>
      </c>
      <c r="C929">
        <v>0.28399999999999997</v>
      </c>
      <c r="D929">
        <v>0.11</v>
      </c>
      <c r="E929">
        <v>7.7000000000000002E-3</v>
      </c>
      <c r="F929">
        <v>0.29509999999999997</v>
      </c>
      <c r="G929">
        <v>80</v>
      </c>
      <c r="H929">
        <v>90</v>
      </c>
      <c r="I929">
        <v>27</v>
      </c>
      <c r="J929">
        <v>1</v>
      </c>
      <c r="K929">
        <v>20.648</v>
      </c>
    </row>
    <row r="930" spans="1:11">
      <c r="A930">
        <v>0.22140000000000001</v>
      </c>
      <c r="B930">
        <v>4.7199999999999999E-2</v>
      </c>
      <c r="C930">
        <v>6.4899999999999999E-2</v>
      </c>
      <c r="D930">
        <v>0.32269999999999999</v>
      </c>
      <c r="E930">
        <v>0.13039999999999999</v>
      </c>
      <c r="F930">
        <v>0.21340000000000001</v>
      </c>
      <c r="G930">
        <v>140</v>
      </c>
      <c r="H930">
        <v>150</v>
      </c>
      <c r="I930">
        <v>30</v>
      </c>
      <c r="J930">
        <v>2</v>
      </c>
      <c r="K930">
        <v>30.995999999999999</v>
      </c>
    </row>
    <row r="931" spans="1:11">
      <c r="A931">
        <v>0.33329999999999999</v>
      </c>
      <c r="B931">
        <v>0.04</v>
      </c>
      <c r="C931">
        <v>0.13059999999999999</v>
      </c>
      <c r="D931">
        <v>3.8999999999999998E-3</v>
      </c>
      <c r="E931">
        <v>0.28839999999999999</v>
      </c>
      <c r="F931">
        <v>0.20380000000000001</v>
      </c>
      <c r="G931">
        <v>150</v>
      </c>
      <c r="H931">
        <v>150</v>
      </c>
      <c r="I931">
        <v>38</v>
      </c>
      <c r="J931">
        <v>2</v>
      </c>
      <c r="K931">
        <v>49.994999999999997</v>
      </c>
    </row>
    <row r="932" spans="1:11">
      <c r="A932">
        <v>0.38200000000000001</v>
      </c>
      <c r="B932">
        <v>6.1199999999999997E-2</v>
      </c>
      <c r="C932">
        <v>0</v>
      </c>
      <c r="D932">
        <v>4.6199999999999998E-2</v>
      </c>
      <c r="E932">
        <v>0.19600000000000001</v>
      </c>
      <c r="F932">
        <v>0.31459999999999999</v>
      </c>
      <c r="G932">
        <v>60</v>
      </c>
      <c r="H932">
        <v>130</v>
      </c>
      <c r="I932">
        <v>43</v>
      </c>
      <c r="J932">
        <v>1</v>
      </c>
      <c r="K932">
        <v>22.92</v>
      </c>
    </row>
    <row r="933" spans="1:11">
      <c r="A933">
        <v>0.3664</v>
      </c>
      <c r="B933">
        <v>9.6299999999999997E-2</v>
      </c>
      <c r="C933">
        <v>0.18329999999999999</v>
      </c>
      <c r="D933">
        <v>1.4999999999999999E-2</v>
      </c>
      <c r="E933">
        <v>0.23369999999999999</v>
      </c>
      <c r="F933">
        <v>0.1053</v>
      </c>
      <c r="G933">
        <v>60</v>
      </c>
      <c r="H933">
        <v>70</v>
      </c>
      <c r="I933">
        <v>25</v>
      </c>
      <c r="J933">
        <v>2</v>
      </c>
      <c r="K933">
        <v>21.984000000000002</v>
      </c>
    </row>
    <row r="934" spans="1:11">
      <c r="A934">
        <v>0.24979999999999999</v>
      </c>
      <c r="B934">
        <v>0.1298</v>
      </c>
      <c r="C934">
        <v>1.9300000000000001E-2</v>
      </c>
      <c r="D934">
        <v>0.14349999999999999</v>
      </c>
      <c r="E934">
        <v>8.9399999999999993E-2</v>
      </c>
      <c r="F934">
        <v>0.36820000000000003</v>
      </c>
      <c r="G934">
        <v>80</v>
      </c>
      <c r="H934">
        <v>100</v>
      </c>
      <c r="I934">
        <v>38</v>
      </c>
      <c r="J934">
        <v>1</v>
      </c>
      <c r="K934">
        <v>19.984000000000002</v>
      </c>
    </row>
    <row r="935" spans="1:11">
      <c r="A935">
        <v>0.13389999999999999</v>
      </c>
      <c r="B935">
        <v>6.2600000000000003E-2</v>
      </c>
      <c r="C935">
        <v>0.1555</v>
      </c>
      <c r="D935">
        <v>6.4799999999999996E-2</v>
      </c>
      <c r="E935">
        <v>0.26440000000000002</v>
      </c>
      <c r="F935">
        <v>0.31879999999999997</v>
      </c>
      <c r="G935">
        <v>170</v>
      </c>
      <c r="H935">
        <v>160</v>
      </c>
      <c r="I935">
        <v>35</v>
      </c>
      <c r="J935">
        <v>2</v>
      </c>
      <c r="K935">
        <v>22.763000000000002</v>
      </c>
    </row>
    <row r="936" spans="1:11">
      <c r="A936">
        <v>0.33239999999999997</v>
      </c>
      <c r="B936">
        <v>0.1186</v>
      </c>
      <c r="C936">
        <v>2.4299999999999999E-2</v>
      </c>
      <c r="D936">
        <v>3.4200000000000001E-2</v>
      </c>
      <c r="E936">
        <v>0.20430000000000001</v>
      </c>
      <c r="F936">
        <v>0.28620000000000001</v>
      </c>
      <c r="G936">
        <v>50</v>
      </c>
      <c r="H936">
        <v>120</v>
      </c>
      <c r="I936">
        <v>24</v>
      </c>
      <c r="J936">
        <v>1</v>
      </c>
      <c r="K936">
        <v>16.62</v>
      </c>
    </row>
    <row r="937" spans="1:11">
      <c r="A937">
        <v>0.51849999999999996</v>
      </c>
      <c r="B937">
        <v>7.3200000000000001E-2</v>
      </c>
      <c r="C937">
        <v>4.6100000000000002E-2</v>
      </c>
      <c r="D937">
        <v>7.8299999999999995E-2</v>
      </c>
      <c r="E937">
        <v>1.37E-2</v>
      </c>
      <c r="F937">
        <v>0.2702</v>
      </c>
      <c r="G937">
        <v>90</v>
      </c>
      <c r="H937">
        <v>150</v>
      </c>
      <c r="I937">
        <v>32</v>
      </c>
      <c r="J937">
        <v>2</v>
      </c>
      <c r="K937">
        <v>46.664999999999999</v>
      </c>
    </row>
    <row r="938" spans="1:11">
      <c r="A938">
        <v>0.21149999999999999</v>
      </c>
      <c r="B938">
        <v>9.5600000000000004E-2</v>
      </c>
      <c r="C938">
        <v>0.1784</v>
      </c>
      <c r="D938">
        <v>9.4200000000000006E-2</v>
      </c>
      <c r="E938">
        <v>0.17699999999999999</v>
      </c>
      <c r="F938">
        <v>0.24329999999999999</v>
      </c>
      <c r="G938">
        <v>130</v>
      </c>
      <c r="H938">
        <v>160</v>
      </c>
      <c r="I938">
        <v>33</v>
      </c>
      <c r="J938">
        <v>1</v>
      </c>
      <c r="K938">
        <v>27.495000000000001</v>
      </c>
    </row>
    <row r="939" spans="1:11">
      <c r="A939">
        <v>0.43280000000000002</v>
      </c>
      <c r="B939">
        <v>5.28E-2</v>
      </c>
      <c r="C939">
        <v>0.17519999999999999</v>
      </c>
      <c r="D939">
        <v>5.2900000000000003E-2</v>
      </c>
      <c r="E939">
        <v>7.9699999999999993E-2</v>
      </c>
      <c r="F939">
        <v>0.20680000000000001</v>
      </c>
      <c r="G939">
        <v>110</v>
      </c>
      <c r="H939">
        <v>130</v>
      </c>
      <c r="I939">
        <v>45</v>
      </c>
      <c r="J939">
        <v>1</v>
      </c>
      <c r="K939">
        <v>47.607999999999997</v>
      </c>
    </row>
    <row r="940" spans="1:11">
      <c r="A940">
        <v>0.46960000000000002</v>
      </c>
      <c r="B940">
        <v>2.6200000000000001E-2</v>
      </c>
      <c r="C940">
        <v>0.17069999999999999</v>
      </c>
      <c r="D940">
        <v>0</v>
      </c>
      <c r="E940">
        <v>2.07E-2</v>
      </c>
      <c r="F940">
        <v>0.31280000000000002</v>
      </c>
      <c r="G940">
        <v>70</v>
      </c>
      <c r="H940">
        <v>110</v>
      </c>
      <c r="I940">
        <v>23</v>
      </c>
      <c r="J940">
        <v>1</v>
      </c>
      <c r="K940">
        <v>32.872</v>
      </c>
    </row>
    <row r="941" spans="1:11">
      <c r="A941">
        <v>0.23269999999999999</v>
      </c>
      <c r="B941">
        <v>3.1099999999999999E-2</v>
      </c>
      <c r="C941">
        <v>0.22140000000000001</v>
      </c>
      <c r="D941">
        <v>7.5899999999999995E-2</v>
      </c>
      <c r="E941">
        <v>1.17E-2</v>
      </c>
      <c r="F941">
        <v>0.42720000000000002</v>
      </c>
      <c r="G941">
        <v>120</v>
      </c>
      <c r="H941">
        <v>140</v>
      </c>
      <c r="I941">
        <v>21</v>
      </c>
      <c r="J941">
        <v>1</v>
      </c>
      <c r="K941">
        <v>27.923999999999999</v>
      </c>
    </row>
    <row r="942" spans="1:11">
      <c r="A942">
        <v>0.308</v>
      </c>
      <c r="B942">
        <v>2.8199999999999999E-2</v>
      </c>
      <c r="C942">
        <v>2.5899999999999999E-2</v>
      </c>
      <c r="D942">
        <v>0.20530000000000001</v>
      </c>
      <c r="E942">
        <v>6.8999999999999999E-3</v>
      </c>
      <c r="F942">
        <v>0.42570000000000002</v>
      </c>
      <c r="G942">
        <v>100</v>
      </c>
      <c r="H942">
        <v>100</v>
      </c>
      <c r="I942">
        <v>24</v>
      </c>
      <c r="J942">
        <v>1</v>
      </c>
      <c r="K942">
        <v>30.8</v>
      </c>
    </row>
    <row r="943" spans="1:11">
      <c r="A943">
        <v>0.19839999999999999</v>
      </c>
      <c r="B943">
        <v>2.07E-2</v>
      </c>
      <c r="C943">
        <v>0.1913</v>
      </c>
      <c r="D943">
        <v>0.09</v>
      </c>
      <c r="E943">
        <v>6.6199999999999995E-2</v>
      </c>
      <c r="F943">
        <v>0.43340000000000001</v>
      </c>
      <c r="G943">
        <v>130</v>
      </c>
      <c r="H943">
        <v>150</v>
      </c>
      <c r="I943">
        <v>27</v>
      </c>
      <c r="J943">
        <v>2</v>
      </c>
      <c r="K943">
        <v>25.792000000000002</v>
      </c>
    </row>
    <row r="944" spans="1:11">
      <c r="A944">
        <v>0.43419999999999997</v>
      </c>
      <c r="B944">
        <v>0.11550000000000001</v>
      </c>
      <c r="C944">
        <v>7.5899999999999995E-2</v>
      </c>
      <c r="D944">
        <v>0</v>
      </c>
      <c r="E944">
        <v>0.17019999999999999</v>
      </c>
      <c r="F944">
        <v>0.20419999999999999</v>
      </c>
      <c r="G944">
        <v>50</v>
      </c>
      <c r="H944">
        <v>80</v>
      </c>
      <c r="I944">
        <v>40</v>
      </c>
      <c r="J944">
        <v>2</v>
      </c>
      <c r="K944">
        <v>21.71</v>
      </c>
    </row>
    <row r="945" spans="1:11">
      <c r="A945">
        <v>0.26939999999999997</v>
      </c>
      <c r="B945">
        <v>4.7600000000000003E-2</v>
      </c>
      <c r="C945">
        <v>0.26100000000000001</v>
      </c>
      <c r="D945">
        <v>4.3700000000000003E-2</v>
      </c>
      <c r="E945">
        <v>9.5600000000000004E-2</v>
      </c>
      <c r="F945">
        <v>0.28270000000000001</v>
      </c>
      <c r="G945">
        <v>70</v>
      </c>
      <c r="H945">
        <v>90</v>
      </c>
      <c r="I945">
        <v>32</v>
      </c>
      <c r="J945">
        <v>2</v>
      </c>
      <c r="K945">
        <v>18.858000000000001</v>
      </c>
    </row>
    <row r="946" spans="1:11">
      <c r="A946">
        <v>0.20100000000000001</v>
      </c>
      <c r="B946">
        <v>7.4099999999999999E-2</v>
      </c>
      <c r="C946">
        <v>0.28820000000000001</v>
      </c>
      <c r="D946">
        <v>7.7899999999999997E-2</v>
      </c>
      <c r="E946">
        <v>6.93E-2</v>
      </c>
      <c r="F946">
        <v>0.28960000000000002</v>
      </c>
      <c r="G946">
        <v>120</v>
      </c>
      <c r="H946">
        <v>200</v>
      </c>
      <c r="I946">
        <v>32</v>
      </c>
      <c r="J946">
        <v>2</v>
      </c>
      <c r="K946">
        <v>24.12</v>
      </c>
    </row>
    <row r="947" spans="1:11">
      <c r="A947">
        <v>0.40189999999999998</v>
      </c>
      <c r="B947">
        <v>3.5200000000000002E-2</v>
      </c>
      <c r="C947">
        <v>0.182</v>
      </c>
      <c r="D947">
        <v>0</v>
      </c>
      <c r="E947">
        <v>4.6399999999999997E-2</v>
      </c>
      <c r="F947">
        <v>0.33460000000000001</v>
      </c>
      <c r="G947">
        <v>90</v>
      </c>
      <c r="H947">
        <v>110</v>
      </c>
      <c r="I947">
        <v>44</v>
      </c>
      <c r="J947">
        <v>2</v>
      </c>
      <c r="K947">
        <v>36.170999999999999</v>
      </c>
    </row>
    <row r="948" spans="1:11">
      <c r="A948">
        <v>0.2442</v>
      </c>
      <c r="B948">
        <v>0.17130000000000001</v>
      </c>
      <c r="C948">
        <v>0.12889999999999999</v>
      </c>
      <c r="D948">
        <v>1.04E-2</v>
      </c>
      <c r="E948">
        <v>0.13930000000000001</v>
      </c>
      <c r="F948">
        <v>0.30580000000000002</v>
      </c>
      <c r="G948">
        <v>60</v>
      </c>
      <c r="H948">
        <v>110</v>
      </c>
      <c r="I948">
        <v>31</v>
      </c>
      <c r="J948">
        <v>2</v>
      </c>
      <c r="K948">
        <v>14.651999999999999</v>
      </c>
    </row>
    <row r="949" spans="1:11">
      <c r="A949">
        <v>0.35070000000000001</v>
      </c>
      <c r="B949">
        <v>0.1134</v>
      </c>
      <c r="C949">
        <v>7.4899999999999994E-2</v>
      </c>
      <c r="D949">
        <v>0.12609999999999999</v>
      </c>
      <c r="E949">
        <v>1.67E-2</v>
      </c>
      <c r="F949">
        <v>0.31819999999999998</v>
      </c>
      <c r="G949">
        <v>100</v>
      </c>
      <c r="H949">
        <v>200</v>
      </c>
      <c r="I949">
        <v>43</v>
      </c>
      <c r="J949">
        <v>2</v>
      </c>
      <c r="K949">
        <v>35.07</v>
      </c>
    </row>
    <row r="950" spans="1:11">
      <c r="A950">
        <v>0.5806</v>
      </c>
      <c r="B950">
        <v>5.16E-2</v>
      </c>
      <c r="C950">
        <v>5.5E-2</v>
      </c>
      <c r="D950">
        <v>0</v>
      </c>
      <c r="E950">
        <v>9.8699999999999996E-2</v>
      </c>
      <c r="F950">
        <v>0.21410000000000001</v>
      </c>
      <c r="G950">
        <v>90</v>
      </c>
      <c r="H950">
        <v>110</v>
      </c>
      <c r="I950">
        <v>28</v>
      </c>
      <c r="J950">
        <v>2</v>
      </c>
      <c r="K950">
        <v>52.253999999999998</v>
      </c>
    </row>
    <row r="951" spans="1:11">
      <c r="A951">
        <v>0.44259999999999999</v>
      </c>
      <c r="B951">
        <v>5.2900000000000003E-2</v>
      </c>
      <c r="C951">
        <v>5.74E-2</v>
      </c>
      <c r="D951">
        <v>0.1206</v>
      </c>
      <c r="E951">
        <v>0.17780000000000001</v>
      </c>
      <c r="F951">
        <v>0.1487</v>
      </c>
      <c r="G951">
        <v>130</v>
      </c>
      <c r="H951">
        <v>130</v>
      </c>
      <c r="I951">
        <v>29</v>
      </c>
      <c r="J951">
        <v>2</v>
      </c>
      <c r="K951">
        <v>57.537999999999997</v>
      </c>
    </row>
    <row r="952" spans="1:11">
      <c r="A952">
        <v>0.40339999999999998</v>
      </c>
      <c r="B952">
        <v>5.21E-2</v>
      </c>
      <c r="C952">
        <v>5.0200000000000002E-2</v>
      </c>
      <c r="D952">
        <v>9.2299999999999993E-2</v>
      </c>
      <c r="E952">
        <v>8.3799999999999999E-2</v>
      </c>
      <c r="F952">
        <v>0.31809999999999999</v>
      </c>
      <c r="G952">
        <v>100</v>
      </c>
      <c r="H952">
        <v>30</v>
      </c>
      <c r="I952">
        <v>52</v>
      </c>
      <c r="J952">
        <v>2</v>
      </c>
      <c r="K952">
        <v>40.340000000000003</v>
      </c>
    </row>
    <row r="953" spans="1:11">
      <c r="A953">
        <v>0.21859999999999999</v>
      </c>
      <c r="B953">
        <v>6.4500000000000002E-2</v>
      </c>
      <c r="C953">
        <v>0.1183</v>
      </c>
      <c r="D953">
        <v>8.2799999999999999E-2</v>
      </c>
      <c r="E953">
        <v>5.6399999999999999E-2</v>
      </c>
      <c r="F953">
        <v>0.45939999999999998</v>
      </c>
      <c r="G953">
        <v>180</v>
      </c>
      <c r="H953">
        <v>200</v>
      </c>
      <c r="I953">
        <v>36</v>
      </c>
      <c r="J953">
        <v>2</v>
      </c>
      <c r="K953">
        <v>39.347999999999999</v>
      </c>
    </row>
    <row r="954" spans="1:11">
      <c r="A954">
        <v>0.24340000000000001</v>
      </c>
      <c r="B954">
        <v>6.7199999999999996E-2</v>
      </c>
      <c r="C954">
        <v>0.17530000000000001</v>
      </c>
      <c r="D954">
        <v>6.3E-2</v>
      </c>
      <c r="E954">
        <v>0.15870000000000001</v>
      </c>
      <c r="F954">
        <v>0.29239999999999999</v>
      </c>
      <c r="G954">
        <v>110</v>
      </c>
      <c r="H954">
        <v>130</v>
      </c>
      <c r="I954">
        <v>35</v>
      </c>
      <c r="J954">
        <v>2</v>
      </c>
      <c r="K954">
        <v>26.774000000000001</v>
      </c>
    </row>
    <row r="955" spans="1:11">
      <c r="A955">
        <v>0.2913</v>
      </c>
      <c r="B955">
        <v>7.7799999999999994E-2</v>
      </c>
      <c r="C955">
        <v>0.1099</v>
      </c>
      <c r="D955">
        <v>1.7600000000000001E-2</v>
      </c>
      <c r="E955">
        <v>0.29549999999999998</v>
      </c>
      <c r="F955">
        <v>0.20780000000000001</v>
      </c>
      <c r="G955">
        <v>140</v>
      </c>
      <c r="H955">
        <v>130</v>
      </c>
      <c r="I955">
        <v>48</v>
      </c>
      <c r="J955">
        <v>1</v>
      </c>
      <c r="K955">
        <v>40.781999999999996</v>
      </c>
    </row>
    <row r="956" spans="1:11">
      <c r="A956">
        <v>0.58960000000000001</v>
      </c>
      <c r="B956">
        <v>8.8800000000000004E-2</v>
      </c>
      <c r="C956">
        <v>5.9200000000000003E-2</v>
      </c>
      <c r="D956">
        <v>5.11E-2</v>
      </c>
      <c r="E956">
        <v>6.7799999999999999E-2</v>
      </c>
      <c r="F956">
        <v>0.14349999999999999</v>
      </c>
      <c r="G956">
        <v>50</v>
      </c>
      <c r="H956">
        <v>110</v>
      </c>
      <c r="I956">
        <v>35</v>
      </c>
      <c r="J956">
        <v>2</v>
      </c>
      <c r="K956">
        <v>29.48</v>
      </c>
    </row>
    <row r="957" spans="1:11">
      <c r="A957">
        <v>0.2626</v>
      </c>
      <c r="B957">
        <v>4.7100000000000003E-2</v>
      </c>
      <c r="C957">
        <v>0.15570000000000001</v>
      </c>
      <c r="D957">
        <v>1.0800000000000001E-2</v>
      </c>
      <c r="E957">
        <v>0.35809999999999997</v>
      </c>
      <c r="F957">
        <v>0.16569999999999999</v>
      </c>
      <c r="G957">
        <v>90</v>
      </c>
      <c r="H957">
        <v>70</v>
      </c>
      <c r="I957">
        <v>39</v>
      </c>
      <c r="J957">
        <v>2</v>
      </c>
      <c r="K957">
        <v>23.634</v>
      </c>
    </row>
    <row r="958" spans="1:11">
      <c r="A958">
        <v>0.40510000000000002</v>
      </c>
      <c r="B958">
        <v>8.6599999999999996E-2</v>
      </c>
      <c r="C958">
        <v>0.16639999999999999</v>
      </c>
      <c r="D958">
        <v>1.6799999999999999E-2</v>
      </c>
      <c r="E958">
        <v>0.1608</v>
      </c>
      <c r="F958">
        <v>0.16420000000000001</v>
      </c>
      <c r="G958">
        <v>60</v>
      </c>
      <c r="H958">
        <v>150</v>
      </c>
      <c r="I958">
        <v>36</v>
      </c>
      <c r="J958">
        <v>2</v>
      </c>
      <c r="K958">
        <v>24.306000000000001</v>
      </c>
    </row>
    <row r="959" spans="1:11">
      <c r="A959">
        <v>0.40600000000000003</v>
      </c>
      <c r="B959">
        <v>5.8000000000000003E-2</v>
      </c>
      <c r="C959">
        <v>0.17599999999999999</v>
      </c>
      <c r="D959">
        <v>0.1129</v>
      </c>
      <c r="E959">
        <v>5.3999999999999999E-2</v>
      </c>
      <c r="F959">
        <v>0.19320000000000001</v>
      </c>
      <c r="G959">
        <v>90</v>
      </c>
      <c r="H959">
        <v>130</v>
      </c>
      <c r="I959">
        <v>37</v>
      </c>
      <c r="J959">
        <v>2</v>
      </c>
      <c r="K959">
        <v>36.54</v>
      </c>
    </row>
    <row r="960" spans="1:11">
      <c r="A960">
        <v>0.3105</v>
      </c>
      <c r="B960">
        <v>7.1800000000000003E-2</v>
      </c>
      <c r="C960">
        <v>0.18920000000000001</v>
      </c>
      <c r="D960">
        <v>3.2500000000000001E-2</v>
      </c>
      <c r="E960">
        <v>0.19439999999999999</v>
      </c>
      <c r="F960">
        <v>0.2016</v>
      </c>
      <c r="G960">
        <v>80</v>
      </c>
      <c r="H960">
        <v>110</v>
      </c>
      <c r="I960">
        <v>34</v>
      </c>
      <c r="J960">
        <v>2</v>
      </c>
      <c r="K960">
        <v>24.84</v>
      </c>
    </row>
    <row r="961" spans="1:11">
      <c r="A961">
        <v>0.38300000000000001</v>
      </c>
      <c r="B961">
        <v>7.7799999999999994E-2</v>
      </c>
      <c r="C961">
        <v>0.15229999999999999</v>
      </c>
      <c r="D961">
        <v>9.64E-2</v>
      </c>
      <c r="E961">
        <v>0.14480000000000001</v>
      </c>
      <c r="F961">
        <v>0.1457</v>
      </c>
      <c r="G961">
        <v>70</v>
      </c>
      <c r="H961">
        <v>80</v>
      </c>
      <c r="I961">
        <v>27</v>
      </c>
      <c r="J961">
        <v>2</v>
      </c>
      <c r="K961">
        <v>26.81</v>
      </c>
    </row>
    <row r="962" spans="1:11">
      <c r="A962">
        <v>0.3347</v>
      </c>
      <c r="B962">
        <v>0.12509999999999999</v>
      </c>
      <c r="C962">
        <v>7.9899999999999999E-2</v>
      </c>
      <c r="D962">
        <v>0</v>
      </c>
      <c r="E962">
        <v>0.26979999999999998</v>
      </c>
      <c r="F962">
        <v>0.1905</v>
      </c>
      <c r="G962">
        <v>90</v>
      </c>
      <c r="H962">
        <v>100</v>
      </c>
      <c r="I962">
        <v>35</v>
      </c>
      <c r="J962">
        <v>2</v>
      </c>
      <c r="K962">
        <v>30.123000000000001</v>
      </c>
    </row>
    <row r="963" spans="1:11">
      <c r="A963">
        <v>0.22839999999999999</v>
      </c>
      <c r="B963">
        <v>0.18990000000000001</v>
      </c>
      <c r="C963">
        <v>2.12E-2</v>
      </c>
      <c r="D963">
        <v>3.3599999999999998E-2</v>
      </c>
      <c r="E963">
        <v>0.19259999999999999</v>
      </c>
      <c r="F963">
        <v>0.33429999999999999</v>
      </c>
      <c r="G963">
        <v>50</v>
      </c>
      <c r="H963">
        <v>70</v>
      </c>
      <c r="I963">
        <v>24</v>
      </c>
      <c r="J963">
        <v>1</v>
      </c>
      <c r="K963">
        <v>11.42</v>
      </c>
    </row>
    <row r="964" spans="1:11">
      <c r="A964">
        <v>0.49340000000000001</v>
      </c>
      <c r="B964">
        <v>6.9500000000000006E-2</v>
      </c>
      <c r="C964">
        <v>9.5500000000000002E-2</v>
      </c>
      <c r="D964">
        <v>4.5400000000000003E-2</v>
      </c>
      <c r="E964">
        <v>2.6599999999999999E-2</v>
      </c>
      <c r="F964">
        <v>0.26960000000000001</v>
      </c>
      <c r="G964">
        <v>90</v>
      </c>
      <c r="H964">
        <v>90</v>
      </c>
      <c r="I964">
        <v>35</v>
      </c>
      <c r="J964">
        <v>2</v>
      </c>
      <c r="K964">
        <v>44.405999999999999</v>
      </c>
    </row>
    <row r="965" spans="1:11">
      <c r="A965">
        <v>0.31759999999999999</v>
      </c>
      <c r="B965">
        <v>7.5300000000000006E-2</v>
      </c>
      <c r="C965">
        <v>7.2800000000000004E-2</v>
      </c>
      <c r="D965">
        <v>6.5699999999999995E-2</v>
      </c>
      <c r="E965">
        <v>0.1071</v>
      </c>
      <c r="F965">
        <v>0.36149999999999999</v>
      </c>
      <c r="G965">
        <v>60</v>
      </c>
      <c r="H965">
        <v>100</v>
      </c>
      <c r="I965">
        <v>27</v>
      </c>
      <c r="J965">
        <v>2</v>
      </c>
      <c r="K965">
        <v>19.056000000000001</v>
      </c>
    </row>
    <row r="966" spans="1:11">
      <c r="A966">
        <v>0.40429999999999999</v>
      </c>
      <c r="B966">
        <v>0.14699999999999999</v>
      </c>
      <c r="C966">
        <v>8.2199999999999995E-2</v>
      </c>
      <c r="D966">
        <v>5.8299999999999998E-2</v>
      </c>
      <c r="E966">
        <v>0.18190000000000001</v>
      </c>
      <c r="F966">
        <v>0.12620000000000001</v>
      </c>
      <c r="G966">
        <v>80</v>
      </c>
      <c r="H966">
        <v>120</v>
      </c>
      <c r="I966">
        <v>36</v>
      </c>
      <c r="J966">
        <v>1</v>
      </c>
      <c r="K966">
        <v>32.344000000000001</v>
      </c>
    </row>
    <row r="967" spans="1:11">
      <c r="A967">
        <v>0.47970000000000002</v>
      </c>
      <c r="B967">
        <v>8.9399999999999993E-2</v>
      </c>
      <c r="C967">
        <v>2.0400000000000001E-2</v>
      </c>
      <c r="D967">
        <v>0</v>
      </c>
      <c r="E967">
        <v>0.21479999999999999</v>
      </c>
      <c r="F967">
        <v>0.1958</v>
      </c>
      <c r="G967">
        <v>50</v>
      </c>
      <c r="H967">
        <v>130</v>
      </c>
      <c r="I967">
        <v>36</v>
      </c>
      <c r="J967">
        <v>1</v>
      </c>
      <c r="K967">
        <v>23.984999999999999</v>
      </c>
    </row>
    <row r="968" spans="1:11">
      <c r="A968">
        <v>0.28070000000000001</v>
      </c>
      <c r="B968">
        <v>0.1714</v>
      </c>
      <c r="C968">
        <v>0.11799999999999999</v>
      </c>
      <c r="D968">
        <v>8.6900000000000005E-2</v>
      </c>
      <c r="E968">
        <v>0.17979999999999999</v>
      </c>
      <c r="F968">
        <v>0.16309999999999999</v>
      </c>
      <c r="G968">
        <v>80</v>
      </c>
      <c r="H968">
        <v>110</v>
      </c>
      <c r="I968">
        <v>32</v>
      </c>
      <c r="J968">
        <v>1</v>
      </c>
      <c r="K968">
        <v>22.456</v>
      </c>
    </row>
    <row r="969" spans="1:11">
      <c r="A969">
        <v>0.43940000000000001</v>
      </c>
      <c r="B969">
        <v>0.1206</v>
      </c>
      <c r="C969">
        <v>7.7999999999999996E-3</v>
      </c>
      <c r="D969">
        <v>0.12330000000000001</v>
      </c>
      <c r="E969">
        <v>0.16209999999999999</v>
      </c>
      <c r="F969">
        <v>0.14680000000000001</v>
      </c>
      <c r="G969">
        <v>80</v>
      </c>
      <c r="H969">
        <v>110</v>
      </c>
      <c r="I969">
        <v>32</v>
      </c>
      <c r="J969">
        <v>2</v>
      </c>
      <c r="K969">
        <v>35.152000000000001</v>
      </c>
    </row>
    <row r="970" spans="1:11">
      <c r="A970">
        <v>0.38469999999999999</v>
      </c>
      <c r="B970">
        <v>0.14760000000000001</v>
      </c>
      <c r="C970">
        <v>5.5199999999999999E-2</v>
      </c>
      <c r="D970">
        <v>7.5600000000000001E-2</v>
      </c>
      <c r="E970">
        <v>1.8200000000000001E-2</v>
      </c>
      <c r="F970">
        <v>0.31869999999999998</v>
      </c>
      <c r="G970">
        <v>60</v>
      </c>
      <c r="H970">
        <v>100</v>
      </c>
      <c r="I970">
        <v>34</v>
      </c>
      <c r="J970">
        <v>2</v>
      </c>
      <c r="K970">
        <v>23.082000000000001</v>
      </c>
    </row>
    <row r="971" spans="1:11">
      <c r="A971">
        <v>0.35170000000000001</v>
      </c>
      <c r="B971">
        <v>3.9300000000000002E-2</v>
      </c>
      <c r="C971">
        <v>0.23150000000000001</v>
      </c>
      <c r="D971">
        <v>0.1079</v>
      </c>
      <c r="E971">
        <v>2.8899999999999999E-2</v>
      </c>
      <c r="F971">
        <v>0.2407</v>
      </c>
      <c r="G971">
        <v>170</v>
      </c>
      <c r="H971">
        <v>150</v>
      </c>
      <c r="I971">
        <v>34</v>
      </c>
      <c r="J971">
        <v>2</v>
      </c>
      <c r="K971">
        <v>59.789000000000001</v>
      </c>
    </row>
    <row r="972" spans="1:11">
      <c r="A972">
        <v>0.33090000000000003</v>
      </c>
      <c r="B972">
        <v>3.2399999999999998E-2</v>
      </c>
      <c r="C972">
        <v>0.2306</v>
      </c>
      <c r="D972">
        <v>8.9899999999999994E-2</v>
      </c>
      <c r="E972">
        <v>6.9999999999999999E-4</v>
      </c>
      <c r="F972">
        <v>0.3155</v>
      </c>
      <c r="G972">
        <v>190</v>
      </c>
      <c r="H972">
        <v>100</v>
      </c>
      <c r="I972">
        <v>26</v>
      </c>
      <c r="J972">
        <v>2</v>
      </c>
      <c r="K972">
        <v>62.871000000000002</v>
      </c>
    </row>
    <row r="973" spans="1:11">
      <c r="A973">
        <v>0.23519999999999999</v>
      </c>
      <c r="B973">
        <v>2.8500000000000001E-2</v>
      </c>
      <c r="C973">
        <v>0.42799999999999999</v>
      </c>
      <c r="D973">
        <v>5.1999999999999998E-3</v>
      </c>
      <c r="E973">
        <v>9.6799999999999997E-2</v>
      </c>
      <c r="F973">
        <v>0.20630000000000001</v>
      </c>
      <c r="G973">
        <v>250</v>
      </c>
      <c r="H973">
        <v>140</v>
      </c>
      <c r="I973">
        <v>49</v>
      </c>
      <c r="J973">
        <v>2</v>
      </c>
      <c r="K973">
        <v>58.8</v>
      </c>
    </row>
    <row r="974" spans="1:11">
      <c r="A974">
        <v>0.2853</v>
      </c>
      <c r="B974">
        <v>4.1599999999999998E-2</v>
      </c>
      <c r="C974">
        <v>3.4500000000000003E-2</v>
      </c>
      <c r="D974">
        <v>0.2276</v>
      </c>
      <c r="E974">
        <v>0.17660000000000001</v>
      </c>
      <c r="F974">
        <v>0.23430000000000001</v>
      </c>
      <c r="G974">
        <v>100</v>
      </c>
      <c r="H974">
        <v>150</v>
      </c>
      <c r="I974">
        <v>35</v>
      </c>
      <c r="J974">
        <v>1</v>
      </c>
      <c r="K974">
        <v>28.53</v>
      </c>
    </row>
    <row r="975" spans="1:11">
      <c r="A975">
        <v>0.59030000000000005</v>
      </c>
      <c r="B975">
        <v>3.7100000000000001E-2</v>
      </c>
      <c r="C975">
        <v>5.1700000000000003E-2</v>
      </c>
      <c r="D975">
        <v>1.1900000000000001E-2</v>
      </c>
      <c r="E975">
        <v>6.83E-2</v>
      </c>
      <c r="F975">
        <v>0.2407</v>
      </c>
      <c r="G975">
        <v>90</v>
      </c>
      <c r="H975">
        <v>120</v>
      </c>
      <c r="I975">
        <v>44</v>
      </c>
      <c r="J975">
        <v>2</v>
      </c>
      <c r="K975">
        <v>53.127000000000002</v>
      </c>
    </row>
    <row r="976" spans="1:11">
      <c r="A976">
        <v>0.45379999999999998</v>
      </c>
      <c r="B976">
        <v>0.1061</v>
      </c>
      <c r="C976">
        <v>0.12540000000000001</v>
      </c>
      <c r="D976">
        <v>6.1100000000000002E-2</v>
      </c>
      <c r="E976">
        <v>9.9400000000000002E-2</v>
      </c>
      <c r="F976">
        <v>0.15409999999999999</v>
      </c>
      <c r="G976">
        <v>80</v>
      </c>
      <c r="H976">
        <v>90</v>
      </c>
      <c r="I976">
        <v>26</v>
      </c>
      <c r="J976">
        <v>1</v>
      </c>
      <c r="K976">
        <v>36.304000000000002</v>
      </c>
    </row>
    <row r="977" spans="1:11">
      <c r="A977">
        <v>0.2427</v>
      </c>
      <c r="B977">
        <v>3.7199999999999997E-2</v>
      </c>
      <c r="C977">
        <v>1.6400000000000001E-2</v>
      </c>
      <c r="D977">
        <v>3.1199999999999999E-2</v>
      </c>
      <c r="E977">
        <v>6.8699999999999997E-2</v>
      </c>
      <c r="F977">
        <v>0.6038</v>
      </c>
      <c r="G977">
        <v>170</v>
      </c>
      <c r="H977">
        <v>300</v>
      </c>
      <c r="I977">
        <v>38</v>
      </c>
      <c r="J977">
        <v>2</v>
      </c>
      <c r="K977">
        <v>41.259</v>
      </c>
    </row>
    <row r="978" spans="1:11">
      <c r="A978">
        <v>0.1321</v>
      </c>
      <c r="B978">
        <v>6.7199999999999996E-2</v>
      </c>
      <c r="C978">
        <v>0.33210000000000001</v>
      </c>
      <c r="D978">
        <v>7.3499999999999996E-2</v>
      </c>
      <c r="E978">
        <v>0.13850000000000001</v>
      </c>
      <c r="F978">
        <v>0.25669999999999998</v>
      </c>
      <c r="G978">
        <v>190</v>
      </c>
      <c r="H978">
        <v>130</v>
      </c>
      <c r="I978">
        <v>33</v>
      </c>
      <c r="J978">
        <v>2</v>
      </c>
      <c r="K978">
        <v>25.099</v>
      </c>
    </row>
    <row r="979" spans="1:11">
      <c r="A979">
        <v>0.42470000000000002</v>
      </c>
      <c r="B979">
        <v>5.8500000000000003E-2</v>
      </c>
      <c r="C979">
        <v>7.6399999999999996E-2</v>
      </c>
      <c r="D979">
        <v>0</v>
      </c>
      <c r="E979">
        <v>0.24790000000000001</v>
      </c>
      <c r="F979">
        <v>0.1925</v>
      </c>
      <c r="G979">
        <v>120</v>
      </c>
      <c r="H979">
        <v>160</v>
      </c>
      <c r="I979">
        <v>44</v>
      </c>
      <c r="J979">
        <v>2</v>
      </c>
      <c r="K979">
        <v>50.963999999999999</v>
      </c>
    </row>
    <row r="980" spans="1:11">
      <c r="A980">
        <v>0.31</v>
      </c>
      <c r="B980">
        <v>4.5199999999999997E-2</v>
      </c>
      <c r="C980">
        <v>6.0400000000000002E-2</v>
      </c>
      <c r="D980">
        <v>0.29189999999999999</v>
      </c>
      <c r="E980">
        <v>3.7900000000000003E-2</v>
      </c>
      <c r="F980">
        <v>0.2545</v>
      </c>
      <c r="G980">
        <v>90</v>
      </c>
      <c r="H980">
        <v>80</v>
      </c>
      <c r="I980">
        <v>28</v>
      </c>
      <c r="J980">
        <v>1</v>
      </c>
      <c r="K980">
        <v>27.9</v>
      </c>
    </row>
    <row r="981" spans="1:11">
      <c r="A981">
        <v>0.34179999999999999</v>
      </c>
      <c r="B981">
        <v>8.8999999999999996E-2</v>
      </c>
      <c r="C981">
        <v>0.1145</v>
      </c>
      <c r="D981">
        <v>0.15</v>
      </c>
      <c r="E981">
        <v>4.53E-2</v>
      </c>
      <c r="F981">
        <v>0.25950000000000001</v>
      </c>
      <c r="G981">
        <v>130</v>
      </c>
      <c r="H981">
        <v>90</v>
      </c>
      <c r="I981">
        <v>37</v>
      </c>
      <c r="J981">
        <v>2</v>
      </c>
      <c r="K981">
        <v>44.433999999999997</v>
      </c>
    </row>
    <row r="982" spans="1:11">
      <c r="A982">
        <v>0.30470000000000003</v>
      </c>
      <c r="B982">
        <v>4.58E-2</v>
      </c>
      <c r="C982">
        <v>0.1076</v>
      </c>
      <c r="D982">
        <v>5.7299999999999997E-2</v>
      </c>
      <c r="E982">
        <v>0.122</v>
      </c>
      <c r="F982">
        <v>0.36270000000000002</v>
      </c>
      <c r="G982">
        <v>120</v>
      </c>
      <c r="H982">
        <v>120</v>
      </c>
      <c r="I982">
        <v>32</v>
      </c>
      <c r="J982">
        <v>2</v>
      </c>
      <c r="K982">
        <v>36.564</v>
      </c>
    </row>
    <row r="983" spans="1:11">
      <c r="A983">
        <v>0.27579999999999999</v>
      </c>
      <c r="B983">
        <v>0.10249999999999999</v>
      </c>
      <c r="C983">
        <v>0.23569999999999999</v>
      </c>
      <c r="D983">
        <v>0.11559999999999999</v>
      </c>
      <c r="E983">
        <v>1.4E-3</v>
      </c>
      <c r="F983">
        <v>0.26889999999999997</v>
      </c>
      <c r="G983">
        <v>230</v>
      </c>
      <c r="H983">
        <v>190</v>
      </c>
      <c r="I983">
        <v>49</v>
      </c>
      <c r="J983">
        <v>1</v>
      </c>
      <c r="K983">
        <v>63.433999999999997</v>
      </c>
    </row>
    <row r="984" spans="1:11">
      <c r="A984">
        <v>0.36990000000000001</v>
      </c>
      <c r="B984">
        <v>8.2400000000000001E-2</v>
      </c>
      <c r="C984">
        <v>0</v>
      </c>
      <c r="D984">
        <v>0.1241</v>
      </c>
      <c r="E984">
        <v>0.13339999999999999</v>
      </c>
      <c r="F984">
        <v>0.29020000000000001</v>
      </c>
      <c r="G984">
        <v>110</v>
      </c>
      <c r="H984">
        <v>190</v>
      </c>
      <c r="I984">
        <v>45</v>
      </c>
      <c r="J984">
        <v>2</v>
      </c>
      <c r="K984">
        <v>40.689</v>
      </c>
    </row>
    <row r="985" spans="1:11">
      <c r="A985">
        <v>0.32429999999999998</v>
      </c>
      <c r="B985">
        <v>0.1512</v>
      </c>
      <c r="C985">
        <v>7.4300000000000005E-2</v>
      </c>
      <c r="D985">
        <v>3.9300000000000002E-2</v>
      </c>
      <c r="E985">
        <v>9.7000000000000003E-2</v>
      </c>
      <c r="F985">
        <v>0.314</v>
      </c>
      <c r="G985">
        <v>70</v>
      </c>
      <c r="H985">
        <v>70</v>
      </c>
      <c r="I985">
        <v>36</v>
      </c>
      <c r="J985">
        <v>1</v>
      </c>
      <c r="K985">
        <v>22.701000000000001</v>
      </c>
    </row>
    <row r="986" spans="1:11">
      <c r="A986">
        <v>0.41460000000000002</v>
      </c>
      <c r="B986">
        <v>5.28E-2</v>
      </c>
      <c r="C986">
        <v>0.1091</v>
      </c>
      <c r="D986">
        <v>6.1000000000000004E-3</v>
      </c>
      <c r="E986">
        <v>7.3700000000000002E-2</v>
      </c>
      <c r="F986">
        <v>0.34379999999999999</v>
      </c>
      <c r="G986">
        <v>80</v>
      </c>
      <c r="H986">
        <v>160</v>
      </c>
      <c r="I986">
        <v>37</v>
      </c>
      <c r="J986">
        <v>2</v>
      </c>
      <c r="K986">
        <v>33.167999999999999</v>
      </c>
    </row>
    <row r="987" spans="1:11">
      <c r="A987">
        <v>0.41320000000000001</v>
      </c>
      <c r="B987">
        <v>0.10009999999999999</v>
      </c>
      <c r="C987">
        <v>0.29730000000000001</v>
      </c>
      <c r="D987">
        <v>6.5799999999999997E-2</v>
      </c>
      <c r="E987">
        <v>6.9999999999999999E-4</v>
      </c>
      <c r="F987">
        <v>0.1229</v>
      </c>
      <c r="G987">
        <v>70</v>
      </c>
      <c r="H987">
        <v>140</v>
      </c>
      <c r="I987">
        <v>34</v>
      </c>
      <c r="J987">
        <v>2</v>
      </c>
      <c r="K987">
        <v>28.923999999999999</v>
      </c>
    </row>
    <row r="988" spans="1:11">
      <c r="A988">
        <v>0.40749999999999997</v>
      </c>
      <c r="B988">
        <v>6.13E-2</v>
      </c>
      <c r="C988">
        <v>4.6399999999999997E-2</v>
      </c>
      <c r="D988">
        <v>7.6600000000000001E-2</v>
      </c>
      <c r="E988">
        <v>8.7300000000000003E-2</v>
      </c>
      <c r="F988">
        <v>0.32100000000000001</v>
      </c>
      <c r="G988">
        <v>80</v>
      </c>
      <c r="H988">
        <v>120</v>
      </c>
      <c r="I988">
        <v>34</v>
      </c>
      <c r="J988">
        <v>2</v>
      </c>
      <c r="K988">
        <v>32.6</v>
      </c>
    </row>
    <row r="989" spans="1:11">
      <c r="A989">
        <v>0.23710000000000001</v>
      </c>
      <c r="B989">
        <v>4.4400000000000002E-2</v>
      </c>
      <c r="C989">
        <v>0.1207</v>
      </c>
      <c r="D989">
        <v>3.8100000000000002E-2</v>
      </c>
      <c r="E989">
        <v>0.1578</v>
      </c>
      <c r="F989">
        <v>0.40200000000000002</v>
      </c>
      <c r="G989">
        <v>100</v>
      </c>
      <c r="H989">
        <v>160</v>
      </c>
      <c r="I989">
        <v>41</v>
      </c>
      <c r="J989">
        <v>2</v>
      </c>
      <c r="K989">
        <v>23.71</v>
      </c>
    </row>
    <row r="990" spans="1:11">
      <c r="A990">
        <v>0.58040000000000003</v>
      </c>
      <c r="B990">
        <v>6.5600000000000006E-2</v>
      </c>
      <c r="C990">
        <v>3.78E-2</v>
      </c>
      <c r="D990">
        <v>0.1103</v>
      </c>
      <c r="E990">
        <v>0</v>
      </c>
      <c r="F990">
        <v>0.2059</v>
      </c>
      <c r="G990">
        <v>40</v>
      </c>
      <c r="H990">
        <v>130</v>
      </c>
      <c r="I990">
        <v>27</v>
      </c>
      <c r="J990">
        <v>2</v>
      </c>
      <c r="K990">
        <v>23.216000000000001</v>
      </c>
    </row>
    <row r="991" spans="1:11">
      <c r="A991">
        <v>0.32929999999999998</v>
      </c>
      <c r="B991">
        <v>7.5300000000000006E-2</v>
      </c>
      <c r="C991">
        <v>6.9199999999999998E-2</v>
      </c>
      <c r="D991">
        <v>0.23280000000000001</v>
      </c>
      <c r="E991">
        <v>0.14729999999999999</v>
      </c>
      <c r="F991">
        <v>0.14599999999999999</v>
      </c>
      <c r="G991">
        <v>90</v>
      </c>
      <c r="H991">
        <v>100</v>
      </c>
      <c r="I991">
        <v>29</v>
      </c>
      <c r="J991">
        <v>1</v>
      </c>
      <c r="K991">
        <v>29.637</v>
      </c>
    </row>
    <row r="992" spans="1:11">
      <c r="A992">
        <v>0.46460000000000001</v>
      </c>
      <c r="B992">
        <v>0.13109999999999999</v>
      </c>
      <c r="C992">
        <v>0</v>
      </c>
      <c r="D992">
        <v>0</v>
      </c>
      <c r="E992">
        <v>0.154</v>
      </c>
      <c r="F992">
        <v>0.25019999999999998</v>
      </c>
      <c r="G992">
        <v>50</v>
      </c>
      <c r="H992">
        <v>130</v>
      </c>
      <c r="I992">
        <v>48</v>
      </c>
      <c r="J992">
        <v>1</v>
      </c>
      <c r="K992">
        <v>23.23</v>
      </c>
    </row>
    <row r="993" spans="1:11">
      <c r="A993">
        <v>0.1946</v>
      </c>
      <c r="B993">
        <v>9.35E-2</v>
      </c>
      <c r="C993">
        <v>7.0000000000000001E-3</v>
      </c>
      <c r="D993">
        <v>0.25159999999999999</v>
      </c>
      <c r="E993">
        <v>0.31869999999999998</v>
      </c>
      <c r="F993">
        <v>0.1346</v>
      </c>
      <c r="G993">
        <v>100</v>
      </c>
      <c r="H993">
        <v>140</v>
      </c>
      <c r="I993">
        <v>47</v>
      </c>
      <c r="J993">
        <v>1</v>
      </c>
      <c r="K993">
        <v>19.46</v>
      </c>
    </row>
    <row r="994" spans="1:11">
      <c r="A994">
        <v>0.39610000000000001</v>
      </c>
      <c r="B994">
        <v>0.11310000000000001</v>
      </c>
      <c r="C994">
        <v>8.8400000000000006E-2</v>
      </c>
      <c r="D994">
        <v>5.0700000000000002E-2</v>
      </c>
      <c r="E994">
        <v>9.9099999999999994E-2</v>
      </c>
      <c r="F994">
        <v>0.25259999999999999</v>
      </c>
      <c r="G994">
        <v>100</v>
      </c>
      <c r="H994">
        <v>140</v>
      </c>
      <c r="I994">
        <v>40</v>
      </c>
      <c r="J994">
        <v>2</v>
      </c>
      <c r="K994">
        <v>39.61</v>
      </c>
    </row>
    <row r="995" spans="1:11">
      <c r="A995">
        <v>0.2225</v>
      </c>
      <c r="B995">
        <v>7.2900000000000006E-2</v>
      </c>
      <c r="C995">
        <v>0.26019999999999999</v>
      </c>
      <c r="D995">
        <v>0.12139999999999999</v>
      </c>
      <c r="E995">
        <v>0.1193</v>
      </c>
      <c r="F995">
        <v>0.2036</v>
      </c>
      <c r="G995">
        <v>100</v>
      </c>
      <c r="H995">
        <v>150</v>
      </c>
      <c r="I995">
        <v>36</v>
      </c>
      <c r="J995">
        <v>1</v>
      </c>
      <c r="K995">
        <v>22.25</v>
      </c>
    </row>
    <row r="996" spans="1:11">
      <c r="A996">
        <v>0.34350000000000003</v>
      </c>
      <c r="B996">
        <v>5.3100000000000001E-2</v>
      </c>
      <c r="C996">
        <v>0.16700000000000001</v>
      </c>
      <c r="D996">
        <v>1.61E-2</v>
      </c>
      <c r="E996">
        <v>6.5600000000000006E-2</v>
      </c>
      <c r="F996">
        <v>0.35470000000000002</v>
      </c>
      <c r="G996">
        <v>110</v>
      </c>
      <c r="H996">
        <v>140</v>
      </c>
      <c r="I996">
        <v>39</v>
      </c>
      <c r="J996">
        <v>2</v>
      </c>
      <c r="K996">
        <v>37.784999999999997</v>
      </c>
    </row>
    <row r="997" spans="1:11">
      <c r="A997">
        <v>0.24179999999999999</v>
      </c>
      <c r="B997">
        <v>5.6399999999999999E-2</v>
      </c>
      <c r="C997">
        <v>7.8899999999999998E-2</v>
      </c>
      <c r="D997">
        <v>8.7999999999999995E-2</v>
      </c>
      <c r="E997">
        <v>0.1951</v>
      </c>
      <c r="F997">
        <v>0.33979999999999999</v>
      </c>
      <c r="G997">
        <v>100</v>
      </c>
      <c r="H997">
        <v>250</v>
      </c>
      <c r="I997">
        <v>33</v>
      </c>
      <c r="J997">
        <v>2</v>
      </c>
      <c r="K997">
        <v>24.18</v>
      </c>
    </row>
    <row r="998" spans="1:11">
      <c r="A998">
        <v>0.1673</v>
      </c>
      <c r="B998">
        <v>3.3399999999999999E-2</v>
      </c>
      <c r="C998">
        <v>0.26400000000000001</v>
      </c>
      <c r="D998">
        <v>9.6100000000000005E-2</v>
      </c>
      <c r="E998">
        <v>0</v>
      </c>
      <c r="F998">
        <v>0.43930000000000002</v>
      </c>
      <c r="G998">
        <v>250</v>
      </c>
      <c r="H998">
        <v>150</v>
      </c>
      <c r="I998">
        <v>28</v>
      </c>
      <c r="J998">
        <v>2</v>
      </c>
      <c r="K998">
        <v>41.825000000000003</v>
      </c>
    </row>
    <row r="999" spans="1:11">
      <c r="A999">
        <v>0.52669999999999995</v>
      </c>
      <c r="B999">
        <v>0.1239</v>
      </c>
      <c r="C999">
        <v>7.3999999999999996E-2</v>
      </c>
      <c r="D999">
        <v>0</v>
      </c>
      <c r="E999">
        <v>0.1673</v>
      </c>
      <c r="F999">
        <v>0.1081</v>
      </c>
      <c r="G999">
        <v>40</v>
      </c>
      <c r="H999">
        <v>120</v>
      </c>
      <c r="I999">
        <v>35</v>
      </c>
      <c r="J999">
        <v>2</v>
      </c>
      <c r="K999">
        <v>21.068000000000001</v>
      </c>
    </row>
    <row r="1000" spans="1:11">
      <c r="A1000">
        <v>0.17299999999999999</v>
      </c>
      <c r="B1000">
        <v>7.0499999999999993E-2</v>
      </c>
      <c r="C1000">
        <v>0.1178</v>
      </c>
      <c r="D1000">
        <v>0.15679999999999999</v>
      </c>
      <c r="E1000">
        <v>5.8400000000000001E-2</v>
      </c>
      <c r="F1000">
        <v>0.42359999999999998</v>
      </c>
      <c r="G1000">
        <v>160</v>
      </c>
      <c r="H1000">
        <v>280</v>
      </c>
      <c r="I1000">
        <v>37</v>
      </c>
      <c r="J1000">
        <v>2</v>
      </c>
      <c r="K1000">
        <v>27.68</v>
      </c>
    </row>
    <row r="1001" spans="1:11">
      <c r="A1001">
        <v>0.30049999999999999</v>
      </c>
      <c r="B1001">
        <v>0.1724</v>
      </c>
      <c r="C1001">
        <v>0.14849999999999999</v>
      </c>
      <c r="D1001">
        <v>9.7000000000000003E-2</v>
      </c>
      <c r="E1001">
        <v>5.9700000000000003E-2</v>
      </c>
      <c r="F1001">
        <v>0.2218</v>
      </c>
      <c r="G1001">
        <v>150</v>
      </c>
      <c r="H1001">
        <v>140</v>
      </c>
      <c r="I1001">
        <v>49</v>
      </c>
      <c r="J1001">
        <v>2</v>
      </c>
      <c r="K1001">
        <v>45.075000000000003</v>
      </c>
    </row>
    <row r="1002" spans="1:11">
      <c r="A1002">
        <v>0.48509999999999998</v>
      </c>
      <c r="B1002">
        <v>8.1900000000000001E-2</v>
      </c>
      <c r="C1002">
        <v>0.1105</v>
      </c>
      <c r="D1002">
        <v>8.6300000000000002E-2</v>
      </c>
      <c r="E1002">
        <v>0.11169999999999999</v>
      </c>
      <c r="F1002">
        <v>0.1245</v>
      </c>
      <c r="G1002">
        <v>140</v>
      </c>
      <c r="H1002">
        <v>160</v>
      </c>
      <c r="I1002">
        <v>38</v>
      </c>
      <c r="J1002">
        <v>2</v>
      </c>
      <c r="K1002">
        <v>67.914000000000001</v>
      </c>
    </row>
    <row r="1003" spans="1:11">
      <c r="A1003">
        <v>0.41770000000000002</v>
      </c>
      <c r="B1003">
        <v>0.12759999999999999</v>
      </c>
      <c r="C1003">
        <v>4.9500000000000002E-2</v>
      </c>
      <c r="D1003">
        <v>1.1299999999999999E-2</v>
      </c>
      <c r="E1003">
        <v>6.2600000000000003E-2</v>
      </c>
      <c r="F1003">
        <v>0.33139999999999997</v>
      </c>
      <c r="G1003">
        <v>70</v>
      </c>
      <c r="H1003">
        <v>110</v>
      </c>
      <c r="I1003">
        <v>27</v>
      </c>
      <c r="J1003">
        <v>2</v>
      </c>
      <c r="K1003">
        <v>29.239000000000001</v>
      </c>
    </row>
    <row r="1004" spans="1:11">
      <c r="A1004">
        <v>0.39889999999999998</v>
      </c>
      <c r="B1004">
        <v>6.1400000000000003E-2</v>
      </c>
      <c r="C1004">
        <v>0.1431</v>
      </c>
      <c r="D1004">
        <v>2.8400000000000002E-2</v>
      </c>
      <c r="E1004">
        <v>0.1014</v>
      </c>
      <c r="F1004">
        <v>0.26679999999999998</v>
      </c>
      <c r="G1004">
        <v>100</v>
      </c>
      <c r="H1004">
        <v>130</v>
      </c>
      <c r="I1004">
        <v>43</v>
      </c>
      <c r="J1004">
        <v>2</v>
      </c>
      <c r="K1004">
        <v>39.89</v>
      </c>
    </row>
    <row r="1005" spans="1:11">
      <c r="A1005">
        <v>0.32569999999999999</v>
      </c>
      <c r="B1005">
        <v>5.74E-2</v>
      </c>
      <c r="C1005">
        <v>1.9199999999999998E-2</v>
      </c>
      <c r="D1005">
        <v>0.13400000000000001</v>
      </c>
      <c r="E1005">
        <v>0.1067</v>
      </c>
      <c r="F1005">
        <v>0.3569</v>
      </c>
      <c r="G1005">
        <v>60</v>
      </c>
      <c r="H1005">
        <v>130</v>
      </c>
      <c r="I1005">
        <v>20</v>
      </c>
      <c r="J1005">
        <v>1</v>
      </c>
      <c r="K1005">
        <v>19.542000000000002</v>
      </c>
    </row>
    <row r="1006" spans="1:11">
      <c r="A1006">
        <v>0.4385</v>
      </c>
      <c r="B1006">
        <v>0.1144</v>
      </c>
      <c r="C1006">
        <v>2.81E-2</v>
      </c>
      <c r="D1006">
        <v>0</v>
      </c>
      <c r="E1006">
        <v>0.14630000000000001</v>
      </c>
      <c r="F1006">
        <v>0.27260000000000001</v>
      </c>
      <c r="G1006">
        <v>70</v>
      </c>
      <c r="H1006">
        <v>120</v>
      </c>
      <c r="I1006">
        <v>47</v>
      </c>
      <c r="J1006">
        <v>1</v>
      </c>
      <c r="K1006">
        <v>30.695</v>
      </c>
    </row>
    <row r="1007" spans="1:11">
      <c r="A1007">
        <v>0.36309999999999998</v>
      </c>
      <c r="B1007">
        <v>0.1051</v>
      </c>
      <c r="C1007">
        <v>4.4900000000000002E-2</v>
      </c>
      <c r="D1007">
        <v>1.06E-2</v>
      </c>
      <c r="E1007">
        <v>0.27279999999999999</v>
      </c>
      <c r="F1007">
        <v>0.2034</v>
      </c>
      <c r="G1007">
        <v>70</v>
      </c>
      <c r="H1007">
        <v>80</v>
      </c>
      <c r="I1007">
        <v>22</v>
      </c>
      <c r="J1007">
        <v>2</v>
      </c>
      <c r="K1007">
        <v>25.417000000000002</v>
      </c>
    </row>
    <row r="1008" spans="1:11">
      <c r="A1008">
        <v>0.4088</v>
      </c>
      <c r="B1008">
        <v>0.10680000000000001</v>
      </c>
      <c r="C1008">
        <v>5.7000000000000002E-3</v>
      </c>
      <c r="D1008">
        <v>0.14979999999999999</v>
      </c>
      <c r="E1008">
        <v>0.11509999999999999</v>
      </c>
      <c r="F1008">
        <v>0.2137</v>
      </c>
      <c r="G1008">
        <v>50</v>
      </c>
      <c r="H1008">
        <v>80</v>
      </c>
      <c r="I1008">
        <v>49</v>
      </c>
      <c r="J1008">
        <v>2</v>
      </c>
      <c r="K1008">
        <v>20.440000000000001</v>
      </c>
    </row>
    <row r="1009" spans="1:11">
      <c r="A1009">
        <v>0.34310000000000002</v>
      </c>
      <c r="B1009">
        <v>3.4099999999999998E-2</v>
      </c>
      <c r="C1009">
        <v>0.16919999999999999</v>
      </c>
      <c r="D1009">
        <v>8.3699999999999997E-2</v>
      </c>
      <c r="E1009">
        <v>6.1699999999999998E-2</v>
      </c>
      <c r="F1009">
        <v>0.30840000000000001</v>
      </c>
      <c r="G1009">
        <v>120</v>
      </c>
      <c r="H1009">
        <v>160</v>
      </c>
      <c r="I1009">
        <v>34</v>
      </c>
      <c r="J1009">
        <v>1</v>
      </c>
      <c r="K1009">
        <v>41.171999999999997</v>
      </c>
    </row>
    <row r="1010" spans="1:11">
      <c r="A1010">
        <v>0.4032</v>
      </c>
      <c r="B1010">
        <v>0.18240000000000001</v>
      </c>
      <c r="C1010">
        <v>0</v>
      </c>
      <c r="D1010">
        <v>7.0000000000000001E-3</v>
      </c>
      <c r="E1010">
        <v>0.1153</v>
      </c>
      <c r="F1010">
        <v>0.29210000000000003</v>
      </c>
      <c r="G1010">
        <v>60</v>
      </c>
      <c r="H1010">
        <v>130</v>
      </c>
      <c r="I1010">
        <v>32</v>
      </c>
      <c r="J1010">
        <v>2</v>
      </c>
      <c r="K1010">
        <v>24.192</v>
      </c>
    </row>
    <row r="1011" spans="1:11">
      <c r="A1011">
        <v>0.31919999999999998</v>
      </c>
      <c r="B1011">
        <v>3.0300000000000001E-2</v>
      </c>
      <c r="C1011">
        <v>2.6599999999999999E-2</v>
      </c>
      <c r="D1011">
        <v>0.22589999999999999</v>
      </c>
      <c r="E1011">
        <v>0.16170000000000001</v>
      </c>
      <c r="F1011">
        <v>0.2364</v>
      </c>
      <c r="G1011">
        <v>140</v>
      </c>
      <c r="H1011">
        <v>140</v>
      </c>
      <c r="I1011">
        <v>38</v>
      </c>
      <c r="J1011">
        <v>1</v>
      </c>
      <c r="K1011">
        <v>44.688000000000002</v>
      </c>
    </row>
    <row r="1012" spans="1:11">
      <c r="A1012">
        <v>0.1482</v>
      </c>
      <c r="B1012">
        <v>3.73E-2</v>
      </c>
      <c r="C1012">
        <v>5.3800000000000001E-2</v>
      </c>
      <c r="D1012">
        <v>0.1091</v>
      </c>
      <c r="E1012">
        <v>5.0999999999999997E-2</v>
      </c>
      <c r="F1012">
        <v>0.60060000000000002</v>
      </c>
      <c r="G1012">
        <v>280</v>
      </c>
      <c r="H1012">
        <v>340</v>
      </c>
      <c r="I1012">
        <v>45</v>
      </c>
      <c r="J1012">
        <v>1</v>
      </c>
      <c r="K1012">
        <v>41.496000000000002</v>
      </c>
    </row>
    <row r="1013" spans="1:11">
      <c r="A1013">
        <v>0.20019999999999999</v>
      </c>
      <c r="B1013">
        <v>2.3800000000000002E-2</v>
      </c>
      <c r="C1013">
        <v>0.1888</v>
      </c>
      <c r="D1013">
        <v>0.1623</v>
      </c>
      <c r="E1013">
        <v>0.113</v>
      </c>
      <c r="F1013">
        <v>0.31190000000000001</v>
      </c>
      <c r="G1013">
        <v>160</v>
      </c>
      <c r="H1013">
        <v>110</v>
      </c>
      <c r="I1013">
        <v>23</v>
      </c>
      <c r="J1013">
        <v>1</v>
      </c>
      <c r="K1013">
        <v>32.031999999999996</v>
      </c>
    </row>
    <row r="1014" spans="1:11">
      <c r="A1014">
        <v>0.33139999999999997</v>
      </c>
      <c r="B1014">
        <v>8.1699999999999995E-2</v>
      </c>
      <c r="C1014">
        <v>7.9000000000000008E-3</v>
      </c>
      <c r="D1014">
        <v>6.9400000000000003E-2</v>
      </c>
      <c r="E1014">
        <v>0.27350000000000002</v>
      </c>
      <c r="F1014">
        <v>0.2361</v>
      </c>
      <c r="G1014">
        <v>100</v>
      </c>
      <c r="H1014">
        <v>160</v>
      </c>
      <c r="I1014">
        <v>29</v>
      </c>
      <c r="J1014">
        <v>1</v>
      </c>
      <c r="K1014">
        <v>33.14</v>
      </c>
    </row>
    <row r="1015" spans="1:11">
      <c r="A1015">
        <v>0.23669999999999999</v>
      </c>
      <c r="B1015">
        <v>3.73E-2</v>
      </c>
      <c r="C1015">
        <v>0.31879999999999997</v>
      </c>
      <c r="D1015">
        <v>0</v>
      </c>
      <c r="E1015">
        <v>0.2596</v>
      </c>
      <c r="F1015">
        <v>0.1477</v>
      </c>
      <c r="G1015">
        <v>100</v>
      </c>
      <c r="H1015">
        <v>160</v>
      </c>
      <c r="I1015">
        <v>29</v>
      </c>
      <c r="J1015">
        <v>1</v>
      </c>
      <c r="K1015">
        <v>23.67</v>
      </c>
    </row>
    <row r="1016" spans="1:11">
      <c r="A1016">
        <v>0.1512</v>
      </c>
      <c r="B1016">
        <v>1.5699999999999999E-2</v>
      </c>
      <c r="C1016">
        <v>0.76019999999999999</v>
      </c>
      <c r="D1016">
        <v>3.5700000000000003E-2</v>
      </c>
      <c r="E1016">
        <v>0</v>
      </c>
      <c r="F1016">
        <v>3.73E-2</v>
      </c>
      <c r="G1016">
        <v>160</v>
      </c>
      <c r="H1016">
        <v>90</v>
      </c>
      <c r="I1016">
        <v>38</v>
      </c>
      <c r="J1016">
        <v>2</v>
      </c>
      <c r="K1016">
        <v>24.192</v>
      </c>
    </row>
    <row r="1017" spans="1:11">
      <c r="A1017">
        <v>0.41239999999999999</v>
      </c>
      <c r="B1017">
        <v>0.1051</v>
      </c>
      <c r="C1017">
        <v>9.3700000000000006E-2</v>
      </c>
      <c r="D1017">
        <v>0.1434</v>
      </c>
      <c r="E1017">
        <v>0.1399</v>
      </c>
      <c r="F1017">
        <v>0.1056</v>
      </c>
      <c r="G1017">
        <v>100</v>
      </c>
      <c r="H1017">
        <v>190</v>
      </c>
      <c r="I1017">
        <v>25</v>
      </c>
      <c r="J1017">
        <v>1</v>
      </c>
      <c r="K1017">
        <v>41.24</v>
      </c>
    </row>
    <row r="1018" spans="1:11">
      <c r="A1018">
        <v>0.28370000000000001</v>
      </c>
      <c r="B1018">
        <v>0.114</v>
      </c>
      <c r="C1018">
        <v>2.6100000000000002E-2</v>
      </c>
      <c r="D1018">
        <v>7.0099999999999996E-2</v>
      </c>
      <c r="E1018">
        <v>0.15440000000000001</v>
      </c>
      <c r="F1018">
        <v>0.35160000000000002</v>
      </c>
      <c r="G1018">
        <v>90</v>
      </c>
      <c r="H1018">
        <v>110</v>
      </c>
      <c r="I1018">
        <v>29</v>
      </c>
      <c r="J1018">
        <v>2</v>
      </c>
      <c r="K1018">
        <v>25.533000000000001</v>
      </c>
    </row>
    <row r="1019" spans="1:11">
      <c r="A1019">
        <v>0.39450000000000002</v>
      </c>
      <c r="B1019">
        <v>0.12239999999999999</v>
      </c>
      <c r="C1019">
        <v>1.1900000000000001E-2</v>
      </c>
      <c r="D1019">
        <v>7.8299999999999995E-2</v>
      </c>
      <c r="E1019">
        <v>0.1671</v>
      </c>
      <c r="F1019">
        <v>0.22570000000000001</v>
      </c>
      <c r="G1019">
        <v>80</v>
      </c>
      <c r="H1019">
        <v>110</v>
      </c>
      <c r="I1019">
        <v>28</v>
      </c>
      <c r="J1019">
        <v>1</v>
      </c>
      <c r="K1019">
        <v>31.56</v>
      </c>
    </row>
    <row r="1020" spans="1:11">
      <c r="A1020">
        <v>0.41799999999999998</v>
      </c>
      <c r="B1020">
        <v>5.8400000000000001E-2</v>
      </c>
      <c r="C1020">
        <v>5.0099999999999999E-2</v>
      </c>
      <c r="D1020">
        <v>3.1699999999999999E-2</v>
      </c>
      <c r="E1020">
        <v>0.14749999999999999</v>
      </c>
      <c r="F1020">
        <v>0.29420000000000002</v>
      </c>
      <c r="G1020">
        <v>70</v>
      </c>
      <c r="H1020">
        <v>120</v>
      </c>
      <c r="I1020">
        <v>22</v>
      </c>
      <c r="J1020">
        <v>2</v>
      </c>
      <c r="K1020">
        <v>29.26</v>
      </c>
    </row>
    <row r="1021" spans="1:11">
      <c r="A1021">
        <v>0.3473</v>
      </c>
      <c r="B1021">
        <v>0.1133</v>
      </c>
      <c r="C1021">
        <v>3.2000000000000002E-3</v>
      </c>
      <c r="D1021">
        <v>0</v>
      </c>
      <c r="E1021">
        <v>0.20780000000000001</v>
      </c>
      <c r="F1021">
        <v>0.32829999999999998</v>
      </c>
      <c r="G1021">
        <v>90</v>
      </c>
      <c r="H1021">
        <v>140</v>
      </c>
      <c r="I1021">
        <v>51</v>
      </c>
      <c r="J1021">
        <v>1</v>
      </c>
      <c r="K1021">
        <v>31.257000000000001</v>
      </c>
    </row>
    <row r="1022" spans="1:11">
      <c r="A1022">
        <v>0.43109999999999998</v>
      </c>
      <c r="B1022">
        <v>8.77E-2</v>
      </c>
      <c r="C1022">
        <v>5.8799999999999998E-2</v>
      </c>
      <c r="D1022">
        <v>4.7699999999999999E-2</v>
      </c>
      <c r="E1022">
        <v>4.9799999999999997E-2</v>
      </c>
      <c r="F1022">
        <v>0.32490000000000002</v>
      </c>
      <c r="G1022">
        <v>60</v>
      </c>
      <c r="H1022">
        <v>140</v>
      </c>
      <c r="I1022">
        <v>28</v>
      </c>
      <c r="J1022">
        <v>1</v>
      </c>
      <c r="K1022">
        <v>25.866</v>
      </c>
    </row>
    <row r="1023" spans="1:11">
      <c r="A1023">
        <v>0.4924</v>
      </c>
      <c r="B1023">
        <v>0.1176</v>
      </c>
      <c r="C1023">
        <v>4.1599999999999998E-2</v>
      </c>
      <c r="D1023">
        <v>0.1087</v>
      </c>
      <c r="E1023">
        <v>0</v>
      </c>
      <c r="F1023">
        <v>0.2397</v>
      </c>
      <c r="G1023">
        <v>60</v>
      </c>
      <c r="H1023">
        <v>90</v>
      </c>
      <c r="I1023">
        <v>28</v>
      </c>
      <c r="J1023">
        <v>2</v>
      </c>
      <c r="K1023">
        <v>29.544</v>
      </c>
    </row>
    <row r="1024" spans="1:11">
      <c r="A1024">
        <v>0.50480000000000003</v>
      </c>
      <c r="B1024">
        <v>6.1400000000000003E-2</v>
      </c>
      <c r="C1024">
        <v>0.12939999999999999</v>
      </c>
      <c r="D1024">
        <v>3.8399999999999997E-2</v>
      </c>
      <c r="E1024">
        <v>0.12239999999999999</v>
      </c>
      <c r="F1024">
        <v>0.14369999999999999</v>
      </c>
      <c r="G1024">
        <v>150</v>
      </c>
      <c r="H1024">
        <v>180</v>
      </c>
      <c r="I1024">
        <v>35</v>
      </c>
      <c r="J1024">
        <v>1</v>
      </c>
      <c r="K1024">
        <v>75.72</v>
      </c>
    </row>
    <row r="1025" spans="1:11">
      <c r="A1025">
        <v>0.27729999999999999</v>
      </c>
      <c r="B1025">
        <v>6.3E-2</v>
      </c>
      <c r="C1025">
        <v>0.18679999999999999</v>
      </c>
      <c r="D1025">
        <v>0</v>
      </c>
      <c r="E1025">
        <v>0.1168</v>
      </c>
      <c r="F1025">
        <v>0.35610000000000003</v>
      </c>
      <c r="G1025">
        <v>130</v>
      </c>
      <c r="H1025">
        <v>160</v>
      </c>
      <c r="I1025">
        <v>56</v>
      </c>
      <c r="J1025">
        <v>1</v>
      </c>
      <c r="K1025">
        <v>36.048999999999999</v>
      </c>
    </row>
    <row r="1026" spans="1:11">
      <c r="A1026">
        <v>0.26550000000000001</v>
      </c>
      <c r="B1026">
        <v>4.3900000000000002E-2</v>
      </c>
      <c r="C1026">
        <v>0.16120000000000001</v>
      </c>
      <c r="D1026">
        <v>0.20119999999999999</v>
      </c>
      <c r="E1026">
        <v>3.0099999999999998E-2</v>
      </c>
      <c r="F1026">
        <v>0.29809999999999998</v>
      </c>
      <c r="G1026">
        <v>160</v>
      </c>
      <c r="H1026">
        <v>140</v>
      </c>
      <c r="I1026">
        <v>36</v>
      </c>
      <c r="J1026">
        <v>2</v>
      </c>
      <c r="K1026">
        <v>42.48</v>
      </c>
    </row>
    <row r="1027" spans="1:11">
      <c r="A1027">
        <v>0.20849999999999999</v>
      </c>
      <c r="B1027">
        <v>3.7100000000000001E-2</v>
      </c>
      <c r="C1027">
        <v>0.2364</v>
      </c>
      <c r="D1027">
        <v>0.14530000000000001</v>
      </c>
      <c r="E1027">
        <v>0.1389</v>
      </c>
      <c r="F1027">
        <v>0.2339</v>
      </c>
      <c r="G1027">
        <v>150</v>
      </c>
      <c r="H1027">
        <v>120</v>
      </c>
      <c r="I1027">
        <v>29</v>
      </c>
      <c r="J1027">
        <v>2</v>
      </c>
      <c r="K1027">
        <v>31.274999999999999</v>
      </c>
    </row>
    <row r="1028" spans="1:11">
      <c r="A1028">
        <v>0.19639999999999999</v>
      </c>
      <c r="B1028">
        <v>9.7299999999999998E-2</v>
      </c>
      <c r="C1028">
        <v>0</v>
      </c>
      <c r="D1028">
        <v>0.2069</v>
      </c>
      <c r="E1028">
        <v>0.16700000000000001</v>
      </c>
      <c r="F1028">
        <v>0.33239999999999997</v>
      </c>
      <c r="G1028">
        <v>50</v>
      </c>
      <c r="H1028">
        <v>130</v>
      </c>
      <c r="I1028">
        <v>29</v>
      </c>
      <c r="J1028">
        <v>1</v>
      </c>
      <c r="K1028">
        <v>9.82</v>
      </c>
    </row>
    <row r="1029" spans="1:11">
      <c r="A1029">
        <v>0.45889999999999997</v>
      </c>
      <c r="B1029">
        <v>0.14810000000000001</v>
      </c>
      <c r="C1029">
        <v>5.1700000000000003E-2</v>
      </c>
      <c r="D1029">
        <v>0.17560000000000001</v>
      </c>
      <c r="E1029">
        <v>1.6999999999999999E-3</v>
      </c>
      <c r="F1029">
        <v>0.16400000000000001</v>
      </c>
      <c r="G1029">
        <v>70</v>
      </c>
      <c r="H1029">
        <v>210</v>
      </c>
      <c r="I1029">
        <v>47</v>
      </c>
      <c r="J1029">
        <v>2</v>
      </c>
      <c r="K1029">
        <v>32.122999999999998</v>
      </c>
    </row>
    <row r="1030" spans="1:11">
      <c r="A1030">
        <v>0.2397</v>
      </c>
      <c r="B1030">
        <v>3.9899999999999998E-2</v>
      </c>
      <c r="C1030">
        <v>0.31280000000000002</v>
      </c>
      <c r="D1030">
        <v>8.0100000000000005E-2</v>
      </c>
      <c r="E1030">
        <v>0.19170000000000001</v>
      </c>
      <c r="F1030">
        <v>0.13589999999999999</v>
      </c>
      <c r="G1030">
        <v>160</v>
      </c>
      <c r="H1030">
        <v>140</v>
      </c>
      <c r="I1030">
        <v>28</v>
      </c>
      <c r="J1030">
        <v>1</v>
      </c>
      <c r="K1030">
        <v>38.351999999999997</v>
      </c>
    </row>
    <row r="1031" spans="1:11">
      <c r="A1031">
        <v>0.1951</v>
      </c>
      <c r="B1031">
        <v>2.93E-2</v>
      </c>
      <c r="C1031">
        <v>0.32840000000000003</v>
      </c>
      <c r="D1031">
        <v>4.7699999999999999E-2</v>
      </c>
      <c r="E1031">
        <v>0.13730000000000001</v>
      </c>
      <c r="F1031">
        <v>0.26219999999999999</v>
      </c>
      <c r="G1031">
        <v>170</v>
      </c>
      <c r="H1031">
        <v>180</v>
      </c>
      <c r="I1031">
        <v>29</v>
      </c>
      <c r="J1031">
        <v>1</v>
      </c>
      <c r="K1031">
        <v>33.167000000000002</v>
      </c>
    </row>
    <row r="1032" spans="1:11">
      <c r="A1032">
        <v>0.21729999999999999</v>
      </c>
      <c r="B1032">
        <v>4.7800000000000002E-2</v>
      </c>
      <c r="C1032">
        <v>0.1852</v>
      </c>
      <c r="D1032">
        <v>8.5999999999999993E-2</v>
      </c>
      <c r="E1032">
        <v>0.27629999999999999</v>
      </c>
      <c r="F1032">
        <v>0.18740000000000001</v>
      </c>
      <c r="G1032">
        <v>110</v>
      </c>
      <c r="H1032">
        <v>170</v>
      </c>
      <c r="I1032">
        <v>45</v>
      </c>
      <c r="J1032">
        <v>1</v>
      </c>
      <c r="K1032">
        <v>23.902999999999999</v>
      </c>
    </row>
    <row r="1033" spans="1:11">
      <c r="A1033">
        <v>0.28050000000000003</v>
      </c>
      <c r="B1033">
        <v>0.107</v>
      </c>
      <c r="C1033">
        <v>9.8199999999999996E-2</v>
      </c>
      <c r="D1033">
        <v>3.7400000000000003E-2</v>
      </c>
      <c r="E1033">
        <v>0.2631</v>
      </c>
      <c r="F1033">
        <v>0.21379999999999999</v>
      </c>
      <c r="G1033">
        <v>60</v>
      </c>
      <c r="H1033">
        <v>80</v>
      </c>
      <c r="I1033">
        <v>27</v>
      </c>
      <c r="J1033">
        <v>1</v>
      </c>
      <c r="K1033">
        <v>16.829999999999998</v>
      </c>
    </row>
    <row r="1034" spans="1:11">
      <c r="A1034">
        <v>0.4597</v>
      </c>
      <c r="B1034">
        <v>5.5599999999999997E-2</v>
      </c>
      <c r="C1034">
        <v>0.2266</v>
      </c>
      <c r="D1034">
        <v>0</v>
      </c>
      <c r="E1034">
        <v>0.125</v>
      </c>
      <c r="F1034">
        <v>0.1331</v>
      </c>
      <c r="G1034">
        <v>80</v>
      </c>
      <c r="H1034">
        <v>90</v>
      </c>
      <c r="I1034">
        <v>43</v>
      </c>
      <c r="J1034">
        <v>2</v>
      </c>
      <c r="K1034">
        <v>36.776000000000003</v>
      </c>
    </row>
    <row r="1035" spans="1:11">
      <c r="A1035">
        <v>0.26829999999999998</v>
      </c>
      <c r="B1035">
        <v>0.1797</v>
      </c>
      <c r="C1035">
        <v>0.10589999999999999</v>
      </c>
      <c r="D1035">
        <v>1.8800000000000001E-2</v>
      </c>
      <c r="E1035">
        <v>0.1101</v>
      </c>
      <c r="F1035">
        <v>0.31709999999999999</v>
      </c>
      <c r="G1035">
        <v>60</v>
      </c>
      <c r="H1035">
        <v>400</v>
      </c>
      <c r="I1035">
        <v>28</v>
      </c>
      <c r="J1035">
        <v>1</v>
      </c>
      <c r="K1035">
        <v>16.097999999999999</v>
      </c>
    </row>
    <row r="1036" spans="1:11">
      <c r="A1036">
        <v>0.28510000000000002</v>
      </c>
      <c r="B1036">
        <v>7.6700000000000004E-2</v>
      </c>
      <c r="C1036">
        <v>8.0399999999999999E-2</v>
      </c>
      <c r="D1036">
        <v>1.5699999999999999E-2</v>
      </c>
      <c r="E1036">
        <v>0.1862</v>
      </c>
      <c r="F1036">
        <v>0.35599999999999998</v>
      </c>
      <c r="G1036">
        <v>110</v>
      </c>
      <c r="H1036">
        <v>200</v>
      </c>
      <c r="I1036">
        <v>36</v>
      </c>
      <c r="J1036">
        <v>1</v>
      </c>
      <c r="K1036">
        <v>31.361000000000001</v>
      </c>
    </row>
    <row r="1037" spans="1:11">
      <c r="A1037">
        <v>0.28320000000000001</v>
      </c>
      <c r="B1037">
        <v>0.16830000000000001</v>
      </c>
      <c r="C1037">
        <v>0.18440000000000001</v>
      </c>
      <c r="D1037">
        <v>3.0099999999999998E-2</v>
      </c>
      <c r="E1037">
        <v>0.18590000000000001</v>
      </c>
      <c r="F1037">
        <v>0.14810000000000001</v>
      </c>
      <c r="G1037">
        <v>100</v>
      </c>
      <c r="H1037">
        <v>130</v>
      </c>
      <c r="I1037">
        <v>42</v>
      </c>
      <c r="J1037">
        <v>2</v>
      </c>
      <c r="K1037">
        <v>28.32</v>
      </c>
    </row>
    <row r="1038" spans="1:11">
      <c r="A1038">
        <v>0.17610000000000001</v>
      </c>
      <c r="B1038">
        <v>3.5799999999999998E-2</v>
      </c>
      <c r="C1038">
        <v>0.26790000000000003</v>
      </c>
      <c r="D1038">
        <v>3.8100000000000002E-2</v>
      </c>
      <c r="E1038">
        <v>7.9399999999999998E-2</v>
      </c>
      <c r="F1038">
        <v>0.4027</v>
      </c>
      <c r="G1038">
        <v>200</v>
      </c>
      <c r="H1038">
        <v>90</v>
      </c>
      <c r="I1038">
        <v>36</v>
      </c>
      <c r="J1038">
        <v>1</v>
      </c>
      <c r="K1038">
        <v>35.22</v>
      </c>
    </row>
    <row r="1039" spans="1:11">
      <c r="A1039">
        <v>0.18509999999999999</v>
      </c>
      <c r="B1039">
        <v>4.8500000000000001E-2</v>
      </c>
      <c r="C1039">
        <v>0.1386</v>
      </c>
      <c r="D1039">
        <v>0.313</v>
      </c>
      <c r="E1039">
        <v>0.1361</v>
      </c>
      <c r="F1039">
        <v>0.1787</v>
      </c>
      <c r="G1039">
        <v>160</v>
      </c>
      <c r="H1039">
        <v>140</v>
      </c>
      <c r="I1039">
        <v>28</v>
      </c>
      <c r="J1039">
        <v>2</v>
      </c>
      <c r="K1039">
        <v>29.616</v>
      </c>
    </row>
    <row r="1040" spans="1:11">
      <c r="A1040">
        <v>0.4073</v>
      </c>
      <c r="B1040">
        <v>8.1500000000000003E-2</v>
      </c>
      <c r="C1040">
        <v>4.1099999999999998E-2</v>
      </c>
      <c r="D1040">
        <v>3.4500000000000003E-2</v>
      </c>
      <c r="E1040">
        <v>0.11899999999999999</v>
      </c>
      <c r="F1040">
        <v>0.31659999999999999</v>
      </c>
      <c r="G1040">
        <v>90</v>
      </c>
      <c r="H1040">
        <v>130</v>
      </c>
      <c r="I1040">
        <v>39</v>
      </c>
      <c r="J1040">
        <v>2</v>
      </c>
      <c r="K1040">
        <v>36.656999999999996</v>
      </c>
    </row>
    <row r="1041" spans="1:11">
      <c r="A1041">
        <v>0.37319999999999998</v>
      </c>
      <c r="B1041">
        <v>0.04</v>
      </c>
      <c r="C1041">
        <v>1.2E-2</v>
      </c>
      <c r="D1041">
        <v>0.1447</v>
      </c>
      <c r="E1041">
        <v>0.13009999999999999</v>
      </c>
      <c r="F1041">
        <v>0.3</v>
      </c>
      <c r="G1041">
        <v>80</v>
      </c>
      <c r="H1041">
        <v>130</v>
      </c>
      <c r="I1041">
        <v>33</v>
      </c>
      <c r="J1041">
        <v>2</v>
      </c>
      <c r="K1041">
        <v>29.856000000000002</v>
      </c>
    </row>
    <row r="1042" spans="1:11">
      <c r="A1042">
        <v>0.24690000000000001</v>
      </c>
      <c r="B1042">
        <v>9.4700000000000006E-2</v>
      </c>
      <c r="C1042">
        <v>0.1118</v>
      </c>
      <c r="D1042">
        <v>7.7499999999999999E-2</v>
      </c>
      <c r="E1042">
        <v>6.4199999999999993E-2</v>
      </c>
      <c r="F1042">
        <v>0.40500000000000003</v>
      </c>
      <c r="G1042">
        <v>110</v>
      </c>
      <c r="H1042">
        <v>180</v>
      </c>
      <c r="I1042">
        <v>37</v>
      </c>
      <c r="J1042">
        <v>2</v>
      </c>
      <c r="K1042">
        <v>27.158999999999999</v>
      </c>
    </row>
    <row r="1043" spans="1:11">
      <c r="A1043">
        <v>0.36159999999999998</v>
      </c>
      <c r="B1043">
        <v>5.8999999999999997E-2</v>
      </c>
      <c r="C1043">
        <v>0.19500000000000001</v>
      </c>
      <c r="D1043">
        <v>0</v>
      </c>
      <c r="E1043">
        <v>0.1613</v>
      </c>
      <c r="F1043">
        <v>0.22309999999999999</v>
      </c>
      <c r="G1043">
        <v>80</v>
      </c>
      <c r="H1043">
        <v>90</v>
      </c>
      <c r="I1043">
        <v>25</v>
      </c>
      <c r="J1043">
        <v>1</v>
      </c>
      <c r="K1043">
        <v>28.928000000000001</v>
      </c>
    </row>
    <row r="1044" spans="1:11">
      <c r="A1044">
        <v>0.51200000000000001</v>
      </c>
      <c r="B1044">
        <v>0.1338</v>
      </c>
      <c r="C1044">
        <v>6.6100000000000006E-2</v>
      </c>
      <c r="D1044">
        <v>5.7999999999999996E-3</v>
      </c>
      <c r="E1044">
        <v>8.0199999999999994E-2</v>
      </c>
      <c r="F1044">
        <v>0.2021</v>
      </c>
      <c r="G1044">
        <v>50</v>
      </c>
      <c r="H1044">
        <v>70</v>
      </c>
      <c r="I1044">
        <v>38</v>
      </c>
      <c r="J1044">
        <v>2</v>
      </c>
      <c r="K1044">
        <v>25.6</v>
      </c>
    </row>
    <row r="1045" spans="1:11">
      <c r="A1045">
        <v>0.29609999999999997</v>
      </c>
      <c r="B1045">
        <v>6.8400000000000002E-2</v>
      </c>
      <c r="C1045">
        <v>3.5400000000000001E-2</v>
      </c>
      <c r="D1045">
        <v>2.3E-3</v>
      </c>
      <c r="E1045">
        <v>0.3165</v>
      </c>
      <c r="F1045">
        <v>0.28129999999999999</v>
      </c>
      <c r="G1045">
        <v>200</v>
      </c>
      <c r="H1045">
        <v>270</v>
      </c>
      <c r="I1045">
        <v>49</v>
      </c>
      <c r="J1045">
        <v>2</v>
      </c>
      <c r="K1045">
        <v>59.22</v>
      </c>
    </row>
    <row r="1046" spans="1:11">
      <c r="A1046">
        <v>0.3674</v>
      </c>
      <c r="B1046">
        <v>4.4600000000000001E-2</v>
      </c>
      <c r="C1046">
        <v>1.4500000000000001E-2</v>
      </c>
      <c r="D1046">
        <v>1.17E-2</v>
      </c>
      <c r="E1046">
        <v>0.2379</v>
      </c>
      <c r="F1046">
        <v>0.32390000000000002</v>
      </c>
      <c r="G1046">
        <v>140</v>
      </c>
      <c r="H1046">
        <v>200</v>
      </c>
      <c r="I1046">
        <v>33</v>
      </c>
      <c r="J1046">
        <v>1</v>
      </c>
      <c r="K1046">
        <v>51.436</v>
      </c>
    </row>
    <row r="1047" spans="1:11">
      <c r="A1047">
        <v>0.2762</v>
      </c>
      <c r="B1047">
        <v>3.7199999999999997E-2</v>
      </c>
      <c r="C1047">
        <v>0.26219999999999999</v>
      </c>
      <c r="D1047">
        <v>6.1699999999999998E-2</v>
      </c>
      <c r="E1047">
        <v>0.15970000000000001</v>
      </c>
      <c r="F1047">
        <v>0.20300000000000001</v>
      </c>
      <c r="G1047">
        <v>140</v>
      </c>
      <c r="H1047">
        <v>100</v>
      </c>
      <c r="I1047">
        <v>34</v>
      </c>
      <c r="J1047">
        <v>2</v>
      </c>
      <c r="K1047">
        <v>38.667999999999999</v>
      </c>
    </row>
    <row r="1048" spans="1:11">
      <c r="A1048">
        <v>0.29339999999999999</v>
      </c>
      <c r="B1048">
        <v>9.2100000000000001E-2</v>
      </c>
      <c r="C1048">
        <v>0.1661</v>
      </c>
      <c r="D1048">
        <v>8.5000000000000006E-3</v>
      </c>
      <c r="E1048">
        <v>0.2155</v>
      </c>
      <c r="F1048">
        <v>0.22450000000000001</v>
      </c>
      <c r="G1048">
        <v>100</v>
      </c>
      <c r="H1048">
        <v>150</v>
      </c>
      <c r="I1048">
        <v>40</v>
      </c>
      <c r="J1048">
        <v>2</v>
      </c>
      <c r="K1048">
        <v>29.34</v>
      </c>
    </row>
    <row r="1049" spans="1:11">
      <c r="A1049">
        <v>0.35849999999999999</v>
      </c>
      <c r="B1049">
        <v>7.1099999999999997E-2</v>
      </c>
      <c r="C1049">
        <v>7.3499999999999996E-2</v>
      </c>
      <c r="D1049">
        <v>4.99E-2</v>
      </c>
      <c r="E1049">
        <v>0.30230000000000001</v>
      </c>
      <c r="F1049">
        <v>0.14480000000000001</v>
      </c>
      <c r="G1049">
        <v>90</v>
      </c>
      <c r="H1049">
        <v>150</v>
      </c>
      <c r="I1049">
        <v>31</v>
      </c>
      <c r="J1049">
        <v>2</v>
      </c>
      <c r="K1049">
        <v>32.265000000000001</v>
      </c>
    </row>
    <row r="1050" spans="1:11">
      <c r="A1050">
        <v>0.33810000000000001</v>
      </c>
      <c r="B1050">
        <v>8.3599999999999994E-2</v>
      </c>
      <c r="C1050">
        <v>2.1999999999999999E-2</v>
      </c>
      <c r="D1050">
        <v>0</v>
      </c>
      <c r="E1050">
        <v>0.34</v>
      </c>
      <c r="F1050">
        <v>0.21629999999999999</v>
      </c>
      <c r="G1050">
        <v>90</v>
      </c>
      <c r="H1050">
        <v>120</v>
      </c>
      <c r="I1050">
        <v>29</v>
      </c>
      <c r="J1050">
        <v>2</v>
      </c>
      <c r="K1050">
        <v>30.428999999999998</v>
      </c>
    </row>
    <row r="1051" spans="1:11">
      <c r="A1051">
        <v>0.15870000000000001</v>
      </c>
      <c r="B1051">
        <v>4.2299999999999997E-2</v>
      </c>
      <c r="C1051">
        <v>0.1125</v>
      </c>
      <c r="D1051">
        <v>1.4E-3</v>
      </c>
      <c r="E1051">
        <v>0.1973</v>
      </c>
      <c r="F1051">
        <v>0.48780000000000001</v>
      </c>
      <c r="G1051">
        <v>140</v>
      </c>
      <c r="H1051">
        <v>230</v>
      </c>
      <c r="I1051">
        <v>41</v>
      </c>
      <c r="J1051">
        <v>2</v>
      </c>
      <c r="K1051">
        <v>22.218</v>
      </c>
    </row>
    <row r="1052" spans="1:11">
      <c r="A1052">
        <v>0.3775</v>
      </c>
      <c r="B1052">
        <v>7.9100000000000004E-2</v>
      </c>
      <c r="C1052">
        <v>0.19850000000000001</v>
      </c>
      <c r="D1052">
        <v>4.4000000000000003E-3</v>
      </c>
      <c r="E1052">
        <v>8.7800000000000003E-2</v>
      </c>
      <c r="F1052">
        <v>0.25269999999999998</v>
      </c>
      <c r="G1052">
        <v>120</v>
      </c>
      <c r="H1052">
        <v>200</v>
      </c>
      <c r="I1052">
        <v>44</v>
      </c>
      <c r="J1052">
        <v>2</v>
      </c>
      <c r="K1052">
        <v>45.3</v>
      </c>
    </row>
    <row r="1053" spans="1:11">
      <c r="A1053">
        <v>0.57589999999999997</v>
      </c>
      <c r="B1053">
        <v>4.6199999999999998E-2</v>
      </c>
      <c r="C1053">
        <v>0</v>
      </c>
      <c r="D1053">
        <v>8.0000000000000002E-3</v>
      </c>
      <c r="E1053">
        <v>0.19450000000000001</v>
      </c>
      <c r="F1053">
        <v>0.17530000000000001</v>
      </c>
      <c r="G1053">
        <v>120</v>
      </c>
      <c r="H1053">
        <v>170</v>
      </c>
      <c r="I1053">
        <v>35</v>
      </c>
      <c r="J1053">
        <v>2</v>
      </c>
      <c r="K1053">
        <v>69.108000000000004</v>
      </c>
    </row>
    <row r="1054" spans="1:11">
      <c r="A1054">
        <v>0.50029999999999997</v>
      </c>
      <c r="B1054">
        <v>5.5100000000000003E-2</v>
      </c>
      <c r="C1054">
        <v>5.6300000000000003E-2</v>
      </c>
      <c r="D1054">
        <v>2.3900000000000001E-2</v>
      </c>
      <c r="E1054">
        <v>8.8800000000000004E-2</v>
      </c>
      <c r="F1054">
        <v>0.27560000000000001</v>
      </c>
      <c r="G1054">
        <v>80</v>
      </c>
      <c r="H1054">
        <v>110</v>
      </c>
      <c r="I1054">
        <v>28</v>
      </c>
      <c r="J1054">
        <v>2</v>
      </c>
      <c r="K1054">
        <v>40.024000000000001</v>
      </c>
    </row>
    <row r="1055" spans="1:11">
      <c r="A1055">
        <v>0.2908</v>
      </c>
      <c r="B1055">
        <v>4.2999999999999997E-2</v>
      </c>
      <c r="C1055">
        <v>0.13189999999999999</v>
      </c>
      <c r="D1055">
        <v>4.2099999999999999E-2</v>
      </c>
      <c r="E1055">
        <v>0.30559999999999998</v>
      </c>
      <c r="F1055">
        <v>0.18659999999999999</v>
      </c>
      <c r="G1055">
        <v>110</v>
      </c>
      <c r="H1055">
        <v>80</v>
      </c>
      <c r="I1055">
        <v>35</v>
      </c>
      <c r="J1055">
        <v>1</v>
      </c>
      <c r="K1055">
        <v>31.988</v>
      </c>
    </row>
    <row r="1056" spans="1:11">
      <c r="A1056">
        <v>0.25230000000000002</v>
      </c>
      <c r="B1056">
        <v>4.9000000000000002E-2</v>
      </c>
      <c r="C1056">
        <v>0</v>
      </c>
      <c r="D1056">
        <v>2.2100000000000002E-2</v>
      </c>
      <c r="E1056">
        <v>0.4965</v>
      </c>
      <c r="F1056">
        <v>0.18010000000000001</v>
      </c>
      <c r="G1056">
        <v>110</v>
      </c>
      <c r="H1056">
        <v>140</v>
      </c>
      <c r="I1056">
        <v>36</v>
      </c>
      <c r="J1056">
        <v>2</v>
      </c>
      <c r="K1056">
        <v>27.753</v>
      </c>
    </row>
    <row r="1057" spans="1:11">
      <c r="A1057">
        <v>0.37780000000000002</v>
      </c>
      <c r="B1057">
        <v>5.0299999999999997E-2</v>
      </c>
      <c r="C1057">
        <v>3.3500000000000002E-2</v>
      </c>
      <c r="D1057">
        <v>4.2700000000000002E-2</v>
      </c>
      <c r="E1057">
        <v>0.2094</v>
      </c>
      <c r="F1057">
        <v>0.2863</v>
      </c>
      <c r="G1057">
        <v>150</v>
      </c>
      <c r="H1057">
        <v>130</v>
      </c>
      <c r="I1057">
        <v>41</v>
      </c>
      <c r="J1057">
        <v>2</v>
      </c>
      <c r="K1057">
        <v>56.67</v>
      </c>
    </row>
    <row r="1058" spans="1:11">
      <c r="A1058">
        <v>0.27200000000000002</v>
      </c>
      <c r="B1058">
        <v>0.1832</v>
      </c>
      <c r="C1058">
        <v>6.7299999999999999E-2</v>
      </c>
      <c r="D1058">
        <v>0.31580000000000003</v>
      </c>
      <c r="E1058">
        <v>7.4000000000000003E-3</v>
      </c>
      <c r="F1058">
        <v>0.1542</v>
      </c>
      <c r="G1058">
        <v>70</v>
      </c>
      <c r="H1058">
        <v>100</v>
      </c>
      <c r="I1058">
        <v>27</v>
      </c>
      <c r="J1058">
        <v>1</v>
      </c>
      <c r="K1058">
        <v>19.04</v>
      </c>
    </row>
    <row r="1059" spans="1:11">
      <c r="A1059">
        <v>0.31090000000000001</v>
      </c>
      <c r="B1059">
        <v>5.3800000000000001E-2</v>
      </c>
      <c r="C1059">
        <v>0.20930000000000001</v>
      </c>
      <c r="D1059">
        <v>0.13700000000000001</v>
      </c>
      <c r="E1059">
        <v>0.10050000000000001</v>
      </c>
      <c r="F1059">
        <v>0.1885</v>
      </c>
      <c r="G1059">
        <v>100</v>
      </c>
      <c r="H1059">
        <v>130</v>
      </c>
      <c r="I1059">
        <v>27</v>
      </c>
      <c r="J1059">
        <v>1</v>
      </c>
      <c r="K1059">
        <v>31.09</v>
      </c>
    </row>
    <row r="1060" spans="1:11">
      <c r="A1060">
        <v>0.2296</v>
      </c>
      <c r="B1060">
        <v>3.3099999999999997E-2</v>
      </c>
      <c r="C1060">
        <v>2.8500000000000001E-2</v>
      </c>
      <c r="D1060">
        <v>2.5399999999999999E-2</v>
      </c>
      <c r="E1060">
        <v>0.48020000000000002</v>
      </c>
      <c r="F1060">
        <v>0.2031</v>
      </c>
      <c r="G1060">
        <v>170</v>
      </c>
      <c r="H1060">
        <v>220</v>
      </c>
      <c r="I1060">
        <v>49</v>
      </c>
      <c r="J1060">
        <v>2</v>
      </c>
      <c r="K1060">
        <v>39.031999999999996</v>
      </c>
    </row>
    <row r="1061" spans="1:11">
      <c r="A1061">
        <v>0.26169999999999999</v>
      </c>
      <c r="B1061">
        <v>0.15720000000000001</v>
      </c>
      <c r="C1061">
        <v>4.8399999999999999E-2</v>
      </c>
      <c r="D1061">
        <v>0.21110000000000001</v>
      </c>
      <c r="E1061">
        <v>7.4300000000000005E-2</v>
      </c>
      <c r="F1061">
        <v>0.24729999999999999</v>
      </c>
      <c r="G1061">
        <v>130</v>
      </c>
      <c r="H1061">
        <v>160</v>
      </c>
      <c r="I1061">
        <v>34</v>
      </c>
      <c r="J1061">
        <v>2</v>
      </c>
      <c r="K1061">
        <v>34.021000000000001</v>
      </c>
    </row>
    <row r="1062" spans="1:11">
      <c r="A1062">
        <v>0.32040000000000002</v>
      </c>
      <c r="B1062">
        <v>0.20519999999999999</v>
      </c>
      <c r="C1062">
        <v>2.2499999999999999E-2</v>
      </c>
      <c r="D1062">
        <v>9.6500000000000002E-2</v>
      </c>
      <c r="E1062">
        <v>0.17230000000000001</v>
      </c>
      <c r="F1062">
        <v>0.183</v>
      </c>
      <c r="G1062">
        <v>90</v>
      </c>
      <c r="H1062">
        <v>100</v>
      </c>
      <c r="I1062">
        <v>35</v>
      </c>
      <c r="J1062">
        <v>2</v>
      </c>
      <c r="K1062">
        <v>28.835999999999999</v>
      </c>
    </row>
    <row r="1063" spans="1:11">
      <c r="A1063">
        <v>0.2969</v>
      </c>
      <c r="B1063">
        <v>4.2900000000000001E-2</v>
      </c>
      <c r="C1063">
        <v>0.19320000000000001</v>
      </c>
      <c r="D1063">
        <v>0.03</v>
      </c>
      <c r="E1063">
        <v>0.1711</v>
      </c>
      <c r="F1063">
        <v>0.26590000000000003</v>
      </c>
      <c r="G1063">
        <v>90</v>
      </c>
      <c r="H1063">
        <v>100</v>
      </c>
      <c r="I1063">
        <v>30</v>
      </c>
      <c r="J1063">
        <v>2</v>
      </c>
      <c r="K1063">
        <v>26.721</v>
      </c>
    </row>
    <row r="1064" spans="1:11">
      <c r="A1064">
        <v>0.4929</v>
      </c>
      <c r="B1064">
        <v>8.4199999999999997E-2</v>
      </c>
      <c r="C1064">
        <v>4.1099999999999998E-2</v>
      </c>
      <c r="D1064">
        <v>0.2215</v>
      </c>
      <c r="E1064">
        <v>2.6599999999999999E-2</v>
      </c>
      <c r="F1064">
        <v>0.1338</v>
      </c>
      <c r="G1064">
        <v>110</v>
      </c>
      <c r="H1064">
        <v>160</v>
      </c>
      <c r="I1064">
        <v>36</v>
      </c>
      <c r="J1064">
        <v>2</v>
      </c>
      <c r="K1064">
        <v>54.219000000000001</v>
      </c>
    </row>
    <row r="1065" spans="1:11">
      <c r="A1065">
        <v>0.30159999999999998</v>
      </c>
      <c r="B1065">
        <v>7.8299999999999995E-2</v>
      </c>
      <c r="C1065">
        <v>0.17230000000000001</v>
      </c>
      <c r="D1065">
        <v>7.6499999999999999E-2</v>
      </c>
      <c r="E1065">
        <v>0.1085</v>
      </c>
      <c r="F1065">
        <v>0.26279999999999998</v>
      </c>
      <c r="G1065">
        <v>180</v>
      </c>
      <c r="H1065">
        <v>210</v>
      </c>
      <c r="I1065">
        <v>38</v>
      </c>
      <c r="J1065">
        <v>2</v>
      </c>
      <c r="K1065">
        <v>54.287999999999997</v>
      </c>
    </row>
    <row r="1066" spans="1:11">
      <c r="A1066">
        <v>0.26240000000000002</v>
      </c>
      <c r="B1066">
        <v>4.1000000000000002E-2</v>
      </c>
      <c r="C1066">
        <v>0.39129999999999998</v>
      </c>
      <c r="D1066">
        <v>1.26E-2</v>
      </c>
      <c r="E1066">
        <v>9.7199999999999995E-2</v>
      </c>
      <c r="F1066">
        <v>0.19550000000000001</v>
      </c>
      <c r="G1066">
        <v>60</v>
      </c>
      <c r="H1066">
        <v>90</v>
      </c>
      <c r="I1066">
        <v>34</v>
      </c>
      <c r="J1066">
        <v>2</v>
      </c>
      <c r="K1066">
        <v>15.744</v>
      </c>
    </row>
    <row r="1067" spans="1:11">
      <c r="A1067">
        <v>0.33110000000000001</v>
      </c>
      <c r="B1067">
        <v>8.5800000000000001E-2</v>
      </c>
      <c r="C1067">
        <v>0.1613</v>
      </c>
      <c r="D1067">
        <v>1.6199999999999999E-2</v>
      </c>
      <c r="E1067">
        <v>7.1199999999999999E-2</v>
      </c>
      <c r="F1067">
        <v>0.33429999999999999</v>
      </c>
      <c r="G1067">
        <v>150</v>
      </c>
      <c r="H1067">
        <v>150</v>
      </c>
      <c r="I1067">
        <v>34</v>
      </c>
      <c r="J1067">
        <v>2</v>
      </c>
      <c r="K1067">
        <v>49.664999999999999</v>
      </c>
    </row>
    <row r="1068" spans="1:11">
      <c r="A1068">
        <v>0.2016</v>
      </c>
      <c r="B1068">
        <v>0.1143</v>
      </c>
      <c r="C1068">
        <v>2.5899999999999999E-2</v>
      </c>
      <c r="D1068">
        <v>5.74E-2</v>
      </c>
      <c r="E1068">
        <v>8.2400000000000001E-2</v>
      </c>
      <c r="F1068">
        <v>0.51839999999999997</v>
      </c>
      <c r="G1068">
        <v>60</v>
      </c>
      <c r="H1068">
        <v>90</v>
      </c>
      <c r="I1068">
        <v>28</v>
      </c>
      <c r="J1068">
        <v>2</v>
      </c>
      <c r="K1068">
        <v>12.096</v>
      </c>
    </row>
    <row r="1069" spans="1:11">
      <c r="A1069">
        <v>0.2392</v>
      </c>
      <c r="B1069">
        <v>8.6400000000000005E-2</v>
      </c>
      <c r="C1069">
        <v>0.18509999999999999</v>
      </c>
      <c r="D1069">
        <v>5.1400000000000001E-2</v>
      </c>
      <c r="E1069">
        <v>4.9200000000000001E-2</v>
      </c>
      <c r="F1069">
        <v>0.38869999999999999</v>
      </c>
      <c r="G1069">
        <v>70</v>
      </c>
      <c r="H1069">
        <v>160</v>
      </c>
      <c r="I1069">
        <v>36</v>
      </c>
      <c r="J1069">
        <v>2</v>
      </c>
      <c r="K1069">
        <v>16.744</v>
      </c>
    </row>
    <row r="1070" spans="1:11">
      <c r="A1070">
        <v>0.65859999999999996</v>
      </c>
      <c r="B1070">
        <v>5.2600000000000001E-2</v>
      </c>
      <c r="C1070">
        <v>4.7E-2</v>
      </c>
      <c r="D1070">
        <v>6.0100000000000001E-2</v>
      </c>
      <c r="E1070">
        <v>6.7900000000000002E-2</v>
      </c>
      <c r="F1070">
        <v>0.1138</v>
      </c>
      <c r="G1070">
        <v>90</v>
      </c>
      <c r="H1070">
        <v>90</v>
      </c>
      <c r="I1070">
        <v>34</v>
      </c>
      <c r="J1070">
        <v>2</v>
      </c>
      <c r="K1070">
        <v>59.274000000000001</v>
      </c>
    </row>
    <row r="1071" spans="1:11">
      <c r="A1071">
        <v>0.41</v>
      </c>
      <c r="B1071">
        <v>7.7700000000000005E-2</v>
      </c>
      <c r="C1071">
        <v>0.12590000000000001</v>
      </c>
      <c r="D1071">
        <v>3.9300000000000002E-2</v>
      </c>
      <c r="E1071">
        <v>0.1419</v>
      </c>
      <c r="F1071">
        <v>0.20530000000000001</v>
      </c>
      <c r="G1071">
        <v>80</v>
      </c>
      <c r="H1071">
        <v>120</v>
      </c>
      <c r="I1071">
        <v>45</v>
      </c>
      <c r="J1071">
        <v>1</v>
      </c>
      <c r="K1071">
        <v>32.799999999999997</v>
      </c>
    </row>
    <row r="1072" spans="1:11">
      <c r="A1072">
        <v>0.39279999999999998</v>
      </c>
      <c r="B1072">
        <v>0.1237</v>
      </c>
      <c r="C1072">
        <v>4.53E-2</v>
      </c>
      <c r="D1072">
        <v>1.29E-2</v>
      </c>
      <c r="E1072">
        <v>0.2034</v>
      </c>
      <c r="F1072">
        <v>0.2218</v>
      </c>
      <c r="G1072">
        <v>120</v>
      </c>
      <c r="H1072">
        <v>220</v>
      </c>
      <c r="I1072">
        <v>34</v>
      </c>
      <c r="J1072">
        <v>2</v>
      </c>
      <c r="K1072">
        <v>47.136000000000003</v>
      </c>
    </row>
    <row r="1073" spans="1:11">
      <c r="A1073">
        <v>0.37359999999999999</v>
      </c>
      <c r="B1073">
        <v>6.25E-2</v>
      </c>
      <c r="C1073">
        <v>8.8000000000000005E-3</v>
      </c>
      <c r="D1073">
        <v>0.104</v>
      </c>
      <c r="E1073">
        <v>0.15670000000000001</v>
      </c>
      <c r="F1073">
        <v>0.29459999999999997</v>
      </c>
      <c r="G1073">
        <v>90</v>
      </c>
      <c r="H1073">
        <v>120</v>
      </c>
      <c r="I1073">
        <v>46</v>
      </c>
      <c r="J1073">
        <v>2</v>
      </c>
      <c r="K1073">
        <v>33.624000000000002</v>
      </c>
    </row>
    <row r="1074" spans="1:11">
      <c r="A1074">
        <v>0.28089999999999998</v>
      </c>
      <c r="B1074">
        <v>7.22E-2</v>
      </c>
      <c r="C1074">
        <v>0.38729999999999998</v>
      </c>
      <c r="D1074">
        <v>6.6100000000000006E-2</v>
      </c>
      <c r="E1074">
        <v>4.8000000000000001E-2</v>
      </c>
      <c r="F1074">
        <v>0.14560000000000001</v>
      </c>
      <c r="G1074">
        <v>160</v>
      </c>
      <c r="H1074">
        <v>200</v>
      </c>
      <c r="I1074">
        <v>41</v>
      </c>
      <c r="J1074">
        <v>1</v>
      </c>
      <c r="K1074">
        <v>44.944000000000003</v>
      </c>
    </row>
    <row r="1075" spans="1:11">
      <c r="A1075">
        <v>0.39129999999999998</v>
      </c>
      <c r="B1075">
        <v>6.1199999999999997E-2</v>
      </c>
      <c r="C1075">
        <v>0.27339999999999998</v>
      </c>
      <c r="D1075">
        <v>3.8300000000000001E-2</v>
      </c>
      <c r="E1075">
        <v>0.1002</v>
      </c>
      <c r="F1075">
        <v>0.1356</v>
      </c>
      <c r="G1075">
        <v>90</v>
      </c>
      <c r="H1075">
        <v>120</v>
      </c>
      <c r="I1075">
        <v>28</v>
      </c>
      <c r="J1075">
        <v>2</v>
      </c>
      <c r="K1075">
        <v>35.216999999999999</v>
      </c>
    </row>
    <row r="1076" spans="1:11">
      <c r="A1076">
        <v>0.58909999999999996</v>
      </c>
      <c r="B1076">
        <v>4.9700000000000001E-2</v>
      </c>
      <c r="C1076">
        <v>0.19209999999999999</v>
      </c>
      <c r="D1076">
        <v>1.32E-2</v>
      </c>
      <c r="E1076">
        <v>9.1000000000000004E-3</v>
      </c>
      <c r="F1076">
        <v>0.14680000000000001</v>
      </c>
      <c r="G1076">
        <v>110</v>
      </c>
      <c r="H1076">
        <v>120</v>
      </c>
      <c r="I1076">
        <v>32</v>
      </c>
      <c r="J1076">
        <v>2</v>
      </c>
      <c r="K1076">
        <v>64.801000000000002</v>
      </c>
    </row>
    <row r="1077" spans="1:11">
      <c r="A1077">
        <v>0.51910000000000001</v>
      </c>
      <c r="B1077">
        <v>5.5199999999999999E-2</v>
      </c>
      <c r="C1077">
        <v>5.9499999999999997E-2</v>
      </c>
      <c r="D1077">
        <v>6.6400000000000001E-2</v>
      </c>
      <c r="E1077">
        <v>2.75E-2</v>
      </c>
      <c r="F1077">
        <v>0.27229999999999999</v>
      </c>
      <c r="G1077">
        <v>140</v>
      </c>
      <c r="H1077">
        <v>160</v>
      </c>
      <c r="I1077">
        <v>52</v>
      </c>
      <c r="J1077">
        <v>1</v>
      </c>
      <c r="K1077">
        <v>72.674000000000007</v>
      </c>
    </row>
    <row r="1078" spans="1:11">
      <c r="A1078">
        <v>0.44640000000000002</v>
      </c>
      <c r="B1078">
        <v>5.7099999999999998E-2</v>
      </c>
      <c r="C1078">
        <v>0.17810000000000001</v>
      </c>
      <c r="D1078">
        <v>1.7399999999999999E-2</v>
      </c>
      <c r="E1078">
        <v>0.15260000000000001</v>
      </c>
      <c r="F1078">
        <v>0.14849999999999999</v>
      </c>
      <c r="G1078">
        <v>70</v>
      </c>
      <c r="H1078">
        <v>100</v>
      </c>
      <c r="I1078">
        <v>36</v>
      </c>
      <c r="J1078">
        <v>2</v>
      </c>
      <c r="K1078">
        <v>31.248000000000001</v>
      </c>
    </row>
    <row r="1079" spans="1:11">
      <c r="A1079">
        <v>0.17799999999999999</v>
      </c>
      <c r="B1079">
        <v>9.8199999999999996E-2</v>
      </c>
      <c r="C1079">
        <v>0.2069</v>
      </c>
      <c r="D1079">
        <v>9.4600000000000004E-2</v>
      </c>
      <c r="E1079">
        <v>0.18729999999999999</v>
      </c>
      <c r="F1079">
        <v>0.2351</v>
      </c>
      <c r="G1079">
        <v>90</v>
      </c>
      <c r="H1079">
        <v>110</v>
      </c>
      <c r="I1079">
        <v>34</v>
      </c>
      <c r="J1079">
        <v>1</v>
      </c>
      <c r="K1079">
        <v>16.02</v>
      </c>
    </row>
    <row r="1080" spans="1:11">
      <c r="A1080">
        <v>0.29620000000000002</v>
      </c>
      <c r="B1080">
        <v>5.0799999999999998E-2</v>
      </c>
      <c r="C1080">
        <v>0.16839999999999999</v>
      </c>
      <c r="D1080">
        <v>0.12839999999999999</v>
      </c>
      <c r="E1080">
        <v>9.3600000000000003E-2</v>
      </c>
      <c r="F1080">
        <v>0.26250000000000001</v>
      </c>
      <c r="G1080">
        <v>150</v>
      </c>
      <c r="H1080">
        <v>170</v>
      </c>
      <c r="I1080">
        <v>50</v>
      </c>
      <c r="J1080">
        <v>1</v>
      </c>
      <c r="K1080">
        <v>44.43</v>
      </c>
    </row>
    <row r="1081" spans="1:11">
      <c r="A1081">
        <v>0.56030000000000002</v>
      </c>
      <c r="B1081">
        <v>5.9700000000000003E-2</v>
      </c>
      <c r="C1081">
        <v>7.6399999999999996E-2</v>
      </c>
      <c r="D1081">
        <v>4.7999999999999996E-3</v>
      </c>
      <c r="E1081">
        <v>0.1187</v>
      </c>
      <c r="F1081">
        <v>0.1802</v>
      </c>
      <c r="G1081">
        <v>70</v>
      </c>
      <c r="H1081">
        <v>140</v>
      </c>
      <c r="I1081">
        <v>40</v>
      </c>
      <c r="J1081">
        <v>2</v>
      </c>
      <c r="K1081">
        <v>39.220999999999997</v>
      </c>
    </row>
    <row r="1082" spans="1:11">
      <c r="A1082">
        <v>0.2913</v>
      </c>
      <c r="B1082">
        <v>0.12130000000000001</v>
      </c>
      <c r="C1082">
        <v>5.4000000000000003E-3</v>
      </c>
      <c r="D1082">
        <v>0</v>
      </c>
      <c r="E1082">
        <v>5.8400000000000001E-2</v>
      </c>
      <c r="F1082">
        <v>0.52359999999999995</v>
      </c>
      <c r="G1082">
        <v>100</v>
      </c>
      <c r="H1082">
        <v>200</v>
      </c>
      <c r="I1082">
        <v>34</v>
      </c>
      <c r="J1082">
        <v>1</v>
      </c>
      <c r="K1082">
        <v>29.13</v>
      </c>
    </row>
    <row r="1083" spans="1:11">
      <c r="A1083">
        <v>0.15010000000000001</v>
      </c>
      <c r="B1083">
        <v>5.8700000000000002E-2</v>
      </c>
      <c r="C1083">
        <v>1.4800000000000001E-2</v>
      </c>
      <c r="D1083">
        <v>0</v>
      </c>
      <c r="E1083">
        <v>0.45529999999999998</v>
      </c>
      <c r="F1083">
        <v>0.3211</v>
      </c>
      <c r="G1083">
        <v>100</v>
      </c>
      <c r="H1083">
        <v>180</v>
      </c>
      <c r="I1083">
        <v>39</v>
      </c>
      <c r="J1083">
        <v>1</v>
      </c>
      <c r="K1083">
        <v>15.01</v>
      </c>
    </row>
    <row r="1084" spans="1:11">
      <c r="A1084">
        <v>0.33160000000000001</v>
      </c>
      <c r="B1084">
        <v>0.1045</v>
      </c>
      <c r="C1084">
        <v>7.8799999999999995E-2</v>
      </c>
      <c r="D1084">
        <v>2.7300000000000001E-2</v>
      </c>
      <c r="E1084">
        <v>0.11559999999999999</v>
      </c>
      <c r="F1084">
        <v>0.3422</v>
      </c>
      <c r="G1084">
        <v>80</v>
      </c>
      <c r="H1084">
        <v>60</v>
      </c>
      <c r="I1084">
        <v>35</v>
      </c>
      <c r="J1084">
        <v>2</v>
      </c>
      <c r="K1084">
        <v>26.527999999999999</v>
      </c>
    </row>
    <row r="1085" spans="1:11">
      <c r="A1085">
        <v>0.42830000000000001</v>
      </c>
      <c r="B1085">
        <v>5.2699999999999997E-2</v>
      </c>
      <c r="C1085">
        <v>8.0199999999999994E-2</v>
      </c>
      <c r="D1085">
        <v>0</v>
      </c>
      <c r="E1085">
        <v>0.14549999999999999</v>
      </c>
      <c r="F1085">
        <v>0.29339999999999999</v>
      </c>
      <c r="G1085">
        <v>90</v>
      </c>
      <c r="H1085">
        <v>100</v>
      </c>
      <c r="I1085">
        <v>44</v>
      </c>
      <c r="J1085">
        <v>2</v>
      </c>
      <c r="K1085">
        <v>38.546999999999997</v>
      </c>
    </row>
    <row r="1086" spans="1:11">
      <c r="A1086">
        <v>0.31230000000000002</v>
      </c>
      <c r="B1086">
        <v>2.9000000000000001E-2</v>
      </c>
      <c r="C1086">
        <v>0.1065</v>
      </c>
      <c r="D1086">
        <v>7.5600000000000001E-2</v>
      </c>
      <c r="E1086">
        <v>2.6100000000000002E-2</v>
      </c>
      <c r="F1086">
        <v>0.45050000000000001</v>
      </c>
      <c r="G1086">
        <v>130</v>
      </c>
      <c r="H1086">
        <v>150</v>
      </c>
      <c r="I1086">
        <v>36</v>
      </c>
      <c r="J1086">
        <v>2</v>
      </c>
      <c r="K1086">
        <v>40.598999999999997</v>
      </c>
    </row>
    <row r="1087" spans="1:11">
      <c r="A1087">
        <v>0.34720000000000001</v>
      </c>
      <c r="B1087">
        <v>9.2999999999999999E-2</v>
      </c>
      <c r="C1087">
        <v>5.0799999999999998E-2</v>
      </c>
      <c r="D1087">
        <v>6.25E-2</v>
      </c>
      <c r="E1087">
        <v>0.1908</v>
      </c>
      <c r="F1087">
        <v>0.25569999999999998</v>
      </c>
      <c r="G1087">
        <v>120</v>
      </c>
      <c r="H1087">
        <v>190</v>
      </c>
      <c r="I1087">
        <v>35</v>
      </c>
      <c r="J1087">
        <v>2</v>
      </c>
      <c r="K1087">
        <v>41.664000000000001</v>
      </c>
    </row>
    <row r="1088" spans="1:11">
      <c r="A1088">
        <v>0.26400000000000001</v>
      </c>
      <c r="B1088">
        <v>5.5199999999999999E-2</v>
      </c>
      <c r="C1088">
        <v>8.48E-2</v>
      </c>
      <c r="D1088">
        <v>0.18229999999999999</v>
      </c>
      <c r="E1088">
        <v>6.6299999999999998E-2</v>
      </c>
      <c r="F1088">
        <v>0.34749999999999998</v>
      </c>
      <c r="G1088">
        <v>170</v>
      </c>
      <c r="H1088">
        <v>200</v>
      </c>
      <c r="I1088">
        <v>33</v>
      </c>
      <c r="J1088">
        <v>1</v>
      </c>
      <c r="K1088">
        <v>44.88</v>
      </c>
    </row>
    <row r="1089" spans="1:11">
      <c r="A1089">
        <v>0.31369999999999998</v>
      </c>
      <c r="B1089">
        <v>9.7900000000000001E-2</v>
      </c>
      <c r="C1089">
        <v>0.15329999999999999</v>
      </c>
      <c r="D1089">
        <v>2.1999999999999999E-2</v>
      </c>
      <c r="E1089">
        <v>4.36E-2</v>
      </c>
      <c r="F1089">
        <v>0.3695</v>
      </c>
      <c r="G1089">
        <v>90</v>
      </c>
      <c r="H1089">
        <v>160</v>
      </c>
      <c r="I1089">
        <v>31</v>
      </c>
      <c r="J1089">
        <v>2</v>
      </c>
      <c r="K1089">
        <v>28.233000000000001</v>
      </c>
    </row>
    <row r="1090" spans="1:11">
      <c r="A1090">
        <v>0.25659999999999999</v>
      </c>
      <c r="B1090">
        <v>0.1149</v>
      </c>
      <c r="C1090">
        <v>0.24149999999999999</v>
      </c>
      <c r="D1090">
        <v>4.24E-2</v>
      </c>
      <c r="E1090">
        <v>4.24E-2</v>
      </c>
      <c r="F1090">
        <v>0.30209999999999998</v>
      </c>
      <c r="G1090">
        <v>90</v>
      </c>
      <c r="H1090">
        <v>130</v>
      </c>
      <c r="I1090">
        <v>30</v>
      </c>
      <c r="J1090">
        <v>1</v>
      </c>
      <c r="K1090">
        <v>23.094000000000001</v>
      </c>
    </row>
    <row r="1091" spans="1:11">
      <c r="A1091">
        <v>0.16250000000000001</v>
      </c>
      <c r="B1091">
        <v>2.63E-2</v>
      </c>
      <c r="C1091">
        <v>0.26600000000000001</v>
      </c>
      <c r="D1091">
        <v>5.6500000000000002E-2</v>
      </c>
      <c r="E1091">
        <v>0.26850000000000002</v>
      </c>
      <c r="F1091">
        <v>0.2203</v>
      </c>
      <c r="G1091">
        <v>210</v>
      </c>
      <c r="H1091">
        <v>140</v>
      </c>
      <c r="I1091">
        <v>27</v>
      </c>
      <c r="J1091">
        <v>1</v>
      </c>
      <c r="K1091">
        <v>34.125</v>
      </c>
    </row>
    <row r="1092" spans="1:11">
      <c r="A1092">
        <v>0.48809999999999998</v>
      </c>
      <c r="B1092">
        <v>4.99E-2</v>
      </c>
      <c r="C1092">
        <v>9.9000000000000008E-3</v>
      </c>
      <c r="D1092">
        <v>5.16E-2</v>
      </c>
      <c r="E1092">
        <v>0.16</v>
      </c>
      <c r="F1092">
        <v>0.2404</v>
      </c>
      <c r="G1092">
        <v>90</v>
      </c>
      <c r="H1092">
        <v>160</v>
      </c>
      <c r="I1092">
        <v>41</v>
      </c>
      <c r="J1092">
        <v>2</v>
      </c>
      <c r="K1092">
        <v>43.929000000000002</v>
      </c>
    </row>
    <row r="1093" spans="1:11">
      <c r="A1093">
        <v>0.19969999999999999</v>
      </c>
      <c r="B1093">
        <v>3.5200000000000002E-2</v>
      </c>
      <c r="C1093">
        <v>0.1241</v>
      </c>
      <c r="D1093">
        <v>5.0099999999999999E-2</v>
      </c>
      <c r="E1093">
        <v>0.1217</v>
      </c>
      <c r="F1093">
        <v>0.46920000000000001</v>
      </c>
      <c r="G1093">
        <v>130</v>
      </c>
      <c r="H1093">
        <v>40</v>
      </c>
      <c r="I1093">
        <v>36</v>
      </c>
      <c r="J1093">
        <v>2</v>
      </c>
      <c r="K1093">
        <v>25.960999999999999</v>
      </c>
    </row>
    <row r="1094" spans="1:11">
      <c r="A1094">
        <v>0.20330000000000001</v>
      </c>
      <c r="B1094">
        <v>6.4399999999999999E-2</v>
      </c>
      <c r="C1094">
        <v>0.47889999999999999</v>
      </c>
      <c r="D1094">
        <v>5.9499999999999997E-2</v>
      </c>
      <c r="E1094">
        <v>6.8199999999999997E-2</v>
      </c>
      <c r="F1094">
        <v>0.12570000000000001</v>
      </c>
      <c r="G1094">
        <v>150</v>
      </c>
      <c r="H1094">
        <v>120</v>
      </c>
      <c r="I1094">
        <v>44</v>
      </c>
      <c r="J1094">
        <v>2</v>
      </c>
      <c r="K1094">
        <v>30.495000000000001</v>
      </c>
    </row>
    <row r="1095" spans="1:11">
      <c r="A1095">
        <v>0.33860000000000001</v>
      </c>
      <c r="B1095">
        <v>6.9000000000000006E-2</v>
      </c>
      <c r="C1095">
        <v>8.0799999999999997E-2</v>
      </c>
      <c r="D1095">
        <v>3.7000000000000002E-3</v>
      </c>
      <c r="E1095">
        <v>0.16200000000000001</v>
      </c>
      <c r="F1095">
        <v>0.34589999999999999</v>
      </c>
      <c r="G1095">
        <v>130</v>
      </c>
      <c r="H1095">
        <v>150</v>
      </c>
      <c r="I1095">
        <v>31</v>
      </c>
      <c r="J1095">
        <v>2</v>
      </c>
      <c r="K1095">
        <v>44.018000000000001</v>
      </c>
    </row>
    <row r="1096" spans="1:11">
      <c r="A1096">
        <v>0.28100000000000003</v>
      </c>
      <c r="B1096">
        <v>4.3099999999999999E-2</v>
      </c>
      <c r="C1096">
        <v>9.4500000000000001E-2</v>
      </c>
      <c r="D1096">
        <v>2.6100000000000002E-2</v>
      </c>
      <c r="E1096">
        <v>0.24809999999999999</v>
      </c>
      <c r="F1096">
        <v>0.30719999999999997</v>
      </c>
      <c r="G1096">
        <v>140</v>
      </c>
      <c r="H1096">
        <v>180</v>
      </c>
      <c r="I1096">
        <v>41</v>
      </c>
      <c r="J1096">
        <v>2</v>
      </c>
      <c r="K1096">
        <v>39.340000000000003</v>
      </c>
    </row>
    <row r="1097" spans="1:11">
      <c r="A1097">
        <v>0.44440000000000002</v>
      </c>
      <c r="B1097">
        <v>9.9199999999999997E-2</v>
      </c>
      <c r="C1097">
        <v>3.61E-2</v>
      </c>
      <c r="D1097">
        <v>6.4999999999999997E-3</v>
      </c>
      <c r="E1097">
        <v>0.21110000000000001</v>
      </c>
      <c r="F1097">
        <v>0.20269999999999999</v>
      </c>
      <c r="G1097">
        <v>60</v>
      </c>
      <c r="H1097">
        <v>80</v>
      </c>
      <c r="I1097">
        <v>37</v>
      </c>
      <c r="J1097">
        <v>2</v>
      </c>
      <c r="K1097">
        <v>26.664000000000001</v>
      </c>
    </row>
    <row r="1098" spans="1:11">
      <c r="A1098">
        <v>0.38579999999999998</v>
      </c>
      <c r="B1098">
        <v>5.21E-2</v>
      </c>
      <c r="C1098">
        <v>7.0499999999999993E-2</v>
      </c>
      <c r="D1098">
        <v>3.8300000000000001E-2</v>
      </c>
      <c r="E1098">
        <v>7.3599999999999999E-2</v>
      </c>
      <c r="F1098">
        <v>0.37959999999999999</v>
      </c>
      <c r="G1098">
        <v>80</v>
      </c>
      <c r="H1098">
        <v>130</v>
      </c>
      <c r="I1098">
        <v>40</v>
      </c>
      <c r="J1098">
        <v>2</v>
      </c>
      <c r="K1098">
        <v>30.864000000000001</v>
      </c>
    </row>
    <row r="1099" spans="1:11">
      <c r="A1099">
        <v>0.32940000000000003</v>
      </c>
      <c r="B1099">
        <v>9.9400000000000002E-2</v>
      </c>
      <c r="C1099">
        <v>5.0099999999999999E-2</v>
      </c>
      <c r="D1099">
        <v>3.2000000000000002E-3</v>
      </c>
      <c r="E1099">
        <v>0.21290000000000001</v>
      </c>
      <c r="F1099">
        <v>0.3049</v>
      </c>
      <c r="G1099">
        <v>90</v>
      </c>
      <c r="H1099">
        <v>70</v>
      </c>
      <c r="I1099">
        <v>37</v>
      </c>
      <c r="J1099">
        <v>2</v>
      </c>
      <c r="K1099">
        <v>29.646000000000001</v>
      </c>
    </row>
    <row r="1100" spans="1:11">
      <c r="A1100">
        <v>0.219</v>
      </c>
      <c r="B1100">
        <v>7.1300000000000002E-2</v>
      </c>
      <c r="C1100">
        <v>0.11600000000000001</v>
      </c>
      <c r="D1100">
        <v>5.5599999999999997E-2</v>
      </c>
      <c r="E1100">
        <v>0.17419999999999999</v>
      </c>
      <c r="F1100">
        <v>0.36380000000000001</v>
      </c>
      <c r="G1100">
        <v>100</v>
      </c>
      <c r="H1100">
        <v>190</v>
      </c>
      <c r="I1100">
        <v>33</v>
      </c>
      <c r="J1100">
        <v>2</v>
      </c>
      <c r="K1100">
        <v>21.9</v>
      </c>
    </row>
    <row r="1101" spans="1:11">
      <c r="A1101">
        <v>0.4027</v>
      </c>
      <c r="B1101">
        <v>4.2799999999999998E-2</v>
      </c>
      <c r="C1101">
        <v>4.3099999999999999E-2</v>
      </c>
      <c r="D1101">
        <v>0.13739999999999999</v>
      </c>
      <c r="E1101">
        <v>0.25369999999999998</v>
      </c>
      <c r="F1101">
        <v>0.12039999999999999</v>
      </c>
      <c r="G1101">
        <v>110</v>
      </c>
      <c r="H1101">
        <v>180</v>
      </c>
      <c r="I1101">
        <v>36</v>
      </c>
      <c r="J1101">
        <v>1</v>
      </c>
      <c r="K1101">
        <v>44.296999999999997</v>
      </c>
    </row>
    <row r="1102" spans="1:11">
      <c r="A1102">
        <v>0.3261</v>
      </c>
      <c r="B1102">
        <v>7.2599999999999998E-2</v>
      </c>
      <c r="C1102">
        <v>0.13420000000000001</v>
      </c>
      <c r="D1102">
        <v>0</v>
      </c>
      <c r="E1102">
        <v>4.0399999999999998E-2</v>
      </c>
      <c r="F1102">
        <v>0.42680000000000001</v>
      </c>
      <c r="G1102">
        <v>120</v>
      </c>
      <c r="H1102">
        <v>100</v>
      </c>
      <c r="I1102">
        <v>50</v>
      </c>
      <c r="J1102">
        <v>2</v>
      </c>
      <c r="K1102">
        <v>39.131999999999998</v>
      </c>
    </row>
    <row r="1103" spans="1:11">
      <c r="A1103">
        <v>0.2409</v>
      </c>
      <c r="B1103">
        <v>4.58E-2</v>
      </c>
      <c r="C1103">
        <v>0.16830000000000001</v>
      </c>
      <c r="D1103">
        <v>9.8699999999999996E-2</v>
      </c>
      <c r="E1103">
        <v>0.1406</v>
      </c>
      <c r="F1103">
        <v>0.30559999999999998</v>
      </c>
      <c r="G1103">
        <v>130</v>
      </c>
      <c r="H1103">
        <v>160</v>
      </c>
      <c r="I1103">
        <v>36</v>
      </c>
      <c r="J1103">
        <v>2</v>
      </c>
      <c r="K1103">
        <v>31.317</v>
      </c>
    </row>
    <row r="1104" spans="1:11">
      <c r="A1104">
        <v>0.18390000000000001</v>
      </c>
      <c r="B1104">
        <v>0.1075</v>
      </c>
      <c r="C1104">
        <v>7.2999999999999995E-2</v>
      </c>
      <c r="D1104">
        <v>0</v>
      </c>
      <c r="E1104">
        <v>0.12609999999999999</v>
      </c>
      <c r="F1104">
        <v>0.50949999999999995</v>
      </c>
      <c r="G1104">
        <v>120</v>
      </c>
      <c r="H1104">
        <v>200</v>
      </c>
      <c r="I1104">
        <v>34</v>
      </c>
      <c r="J1104">
        <v>1</v>
      </c>
      <c r="K1104">
        <v>22.068000000000001</v>
      </c>
    </row>
    <row r="1105" spans="1:11">
      <c r="A1105">
        <v>0.1847</v>
      </c>
      <c r="B1105">
        <v>1.4500000000000001E-2</v>
      </c>
      <c r="C1105">
        <v>1.7399999999999999E-2</v>
      </c>
      <c r="D1105">
        <v>3.5099999999999999E-2</v>
      </c>
      <c r="E1105">
        <v>0.58209999999999995</v>
      </c>
      <c r="F1105">
        <v>0.1661</v>
      </c>
      <c r="G1105">
        <v>180</v>
      </c>
      <c r="H1105">
        <v>100</v>
      </c>
      <c r="I1105">
        <v>29</v>
      </c>
      <c r="J1105">
        <v>2</v>
      </c>
      <c r="K1105">
        <v>33.246000000000002</v>
      </c>
    </row>
    <row r="1106" spans="1:11">
      <c r="A1106">
        <v>0.37759999999999999</v>
      </c>
      <c r="B1106">
        <v>4.7199999999999999E-2</v>
      </c>
      <c r="C1106">
        <v>0.1268</v>
      </c>
      <c r="D1106">
        <v>2.6700000000000002E-2</v>
      </c>
      <c r="E1106">
        <v>2.1700000000000001E-2</v>
      </c>
      <c r="F1106">
        <v>0.4</v>
      </c>
      <c r="G1106">
        <v>120</v>
      </c>
      <c r="H1106">
        <v>130</v>
      </c>
      <c r="I1106">
        <v>47</v>
      </c>
      <c r="J1106">
        <v>2</v>
      </c>
      <c r="K1106">
        <v>45.311999999999998</v>
      </c>
    </row>
    <row r="1107" spans="1:11">
      <c r="A1107">
        <v>0.61470000000000002</v>
      </c>
      <c r="B1107">
        <v>0.12659999999999999</v>
      </c>
      <c r="C1107">
        <v>0</v>
      </c>
      <c r="D1107">
        <v>2.06E-2</v>
      </c>
      <c r="E1107">
        <v>6.7000000000000004E-2</v>
      </c>
      <c r="F1107">
        <v>0.1711</v>
      </c>
      <c r="G1107">
        <v>40</v>
      </c>
      <c r="H1107">
        <v>130</v>
      </c>
      <c r="I1107">
        <v>41</v>
      </c>
      <c r="J1107">
        <v>2</v>
      </c>
      <c r="K1107">
        <v>24.588000000000001</v>
      </c>
    </row>
    <row r="1108" spans="1:11">
      <c r="A1108">
        <v>0.30180000000000001</v>
      </c>
      <c r="B1108">
        <v>2.9499999999999998E-2</v>
      </c>
      <c r="C1108">
        <v>1.12E-2</v>
      </c>
      <c r="D1108">
        <v>8.5599999999999996E-2</v>
      </c>
      <c r="E1108">
        <v>0.1009</v>
      </c>
      <c r="F1108">
        <v>0.47099999999999997</v>
      </c>
      <c r="G1108">
        <v>90</v>
      </c>
      <c r="H1108">
        <v>110</v>
      </c>
      <c r="I1108">
        <v>37</v>
      </c>
      <c r="J1108">
        <v>1</v>
      </c>
      <c r="K1108">
        <v>27.161999999999999</v>
      </c>
    </row>
    <row r="1109" spans="1:11">
      <c r="A1109">
        <v>0.4516</v>
      </c>
      <c r="B1109">
        <v>6.1199999999999997E-2</v>
      </c>
      <c r="C1109">
        <v>0.1245</v>
      </c>
      <c r="D1109">
        <v>0</v>
      </c>
      <c r="E1109">
        <v>0.17169999999999999</v>
      </c>
      <c r="F1109">
        <v>0.19109999999999999</v>
      </c>
      <c r="G1109">
        <v>60</v>
      </c>
      <c r="H1109">
        <v>130</v>
      </c>
      <c r="I1109">
        <v>25</v>
      </c>
      <c r="J1109">
        <v>1</v>
      </c>
      <c r="K1109">
        <v>27.096</v>
      </c>
    </row>
    <row r="1110" spans="1:11">
      <c r="A1110">
        <v>0.41539999999999999</v>
      </c>
      <c r="B1110">
        <v>5.7299999999999997E-2</v>
      </c>
      <c r="C1110">
        <v>0.16789999999999999</v>
      </c>
      <c r="D1110">
        <v>6.6199999999999995E-2</v>
      </c>
      <c r="E1110">
        <v>9.5299999999999996E-2</v>
      </c>
      <c r="F1110">
        <v>0.1981</v>
      </c>
      <c r="G1110">
        <v>110</v>
      </c>
      <c r="H1110">
        <v>180</v>
      </c>
      <c r="I1110">
        <v>46</v>
      </c>
      <c r="J1110">
        <v>2</v>
      </c>
      <c r="K1110">
        <v>45.694000000000003</v>
      </c>
    </row>
    <row r="1111" spans="1:11">
      <c r="A1111">
        <v>0.29930000000000001</v>
      </c>
      <c r="B1111">
        <v>0.1321</v>
      </c>
      <c r="C1111">
        <v>7.4300000000000005E-2</v>
      </c>
      <c r="D1111">
        <v>6.9000000000000006E-2</v>
      </c>
      <c r="E1111">
        <v>1.1900000000000001E-2</v>
      </c>
      <c r="F1111">
        <v>0.41349999999999998</v>
      </c>
      <c r="G1111">
        <v>100</v>
      </c>
      <c r="H1111">
        <v>170</v>
      </c>
      <c r="I1111">
        <v>60</v>
      </c>
      <c r="J1111">
        <v>1</v>
      </c>
      <c r="K1111">
        <v>29.93</v>
      </c>
    </row>
    <row r="1112" spans="1:11">
      <c r="A1112">
        <v>0.35410000000000003</v>
      </c>
      <c r="B1112">
        <v>6.1199999999999997E-2</v>
      </c>
      <c r="C1112">
        <v>6.7000000000000002E-3</v>
      </c>
      <c r="D1112">
        <v>0</v>
      </c>
      <c r="E1112">
        <v>0.1701</v>
      </c>
      <c r="F1112">
        <v>0.40789999999999998</v>
      </c>
      <c r="G1112">
        <v>80</v>
      </c>
      <c r="H1112">
        <v>110</v>
      </c>
      <c r="I1112">
        <v>34</v>
      </c>
      <c r="J1112">
        <v>2</v>
      </c>
      <c r="K1112">
        <v>28.327999999999999</v>
      </c>
    </row>
    <row r="1113" spans="1:11">
      <c r="A1113">
        <v>0.21540000000000001</v>
      </c>
      <c r="B1113">
        <v>3.8399999999999997E-2</v>
      </c>
      <c r="C1113">
        <v>0.35730000000000001</v>
      </c>
      <c r="D1113">
        <v>0.1096</v>
      </c>
      <c r="E1113">
        <v>7.2700000000000001E-2</v>
      </c>
      <c r="F1113">
        <v>0.20669999999999999</v>
      </c>
      <c r="G1113">
        <v>200</v>
      </c>
      <c r="H1113">
        <v>180</v>
      </c>
      <c r="I1113">
        <v>35</v>
      </c>
      <c r="J1113">
        <v>2</v>
      </c>
      <c r="K1113">
        <v>43.08</v>
      </c>
    </row>
    <row r="1114" spans="1:11">
      <c r="A1114">
        <v>0.47899999999999998</v>
      </c>
      <c r="B1114">
        <v>8.4699999999999998E-2</v>
      </c>
      <c r="C1114">
        <v>0</v>
      </c>
      <c r="D1114">
        <v>5.0900000000000001E-2</v>
      </c>
      <c r="E1114">
        <v>9.7299999999999998E-2</v>
      </c>
      <c r="F1114">
        <v>0.28810000000000002</v>
      </c>
      <c r="G1114">
        <v>80</v>
      </c>
      <c r="H1114">
        <v>160</v>
      </c>
      <c r="I1114">
        <v>42</v>
      </c>
      <c r="J1114">
        <v>2</v>
      </c>
      <c r="K1114">
        <v>38.32</v>
      </c>
    </row>
    <row r="1115" spans="1:11">
      <c r="A1115">
        <v>0.31590000000000001</v>
      </c>
      <c r="B1115">
        <v>3.7199999999999997E-2</v>
      </c>
      <c r="C1115">
        <v>0.1575</v>
      </c>
      <c r="D1115">
        <v>0.13039999999999999</v>
      </c>
      <c r="E1115">
        <v>9.8699999999999996E-2</v>
      </c>
      <c r="F1115">
        <v>0.26019999999999999</v>
      </c>
      <c r="G1115">
        <v>160</v>
      </c>
      <c r="H1115">
        <v>200</v>
      </c>
      <c r="I1115">
        <v>31</v>
      </c>
      <c r="J1115">
        <v>1</v>
      </c>
      <c r="K1115">
        <v>50.543999999999997</v>
      </c>
    </row>
    <row r="1116" spans="1:11">
      <c r="A1116">
        <v>0.39710000000000001</v>
      </c>
      <c r="B1116">
        <v>2.5100000000000001E-2</v>
      </c>
      <c r="C1116">
        <v>0.1123</v>
      </c>
      <c r="D1116">
        <v>6.6100000000000006E-2</v>
      </c>
      <c r="E1116">
        <v>0.20150000000000001</v>
      </c>
      <c r="F1116">
        <v>0.1978</v>
      </c>
      <c r="G1116">
        <v>140</v>
      </c>
      <c r="H1116">
        <v>230</v>
      </c>
      <c r="I1116">
        <v>45</v>
      </c>
      <c r="J1116">
        <v>2</v>
      </c>
      <c r="K1116">
        <v>55.594000000000001</v>
      </c>
    </row>
    <row r="1117" spans="1:11">
      <c r="A1117">
        <v>0.40160000000000001</v>
      </c>
      <c r="B1117">
        <v>0.1069</v>
      </c>
      <c r="C1117">
        <v>6.2E-2</v>
      </c>
      <c r="D1117">
        <v>9.3899999999999997E-2</v>
      </c>
      <c r="E1117">
        <v>0.14169999999999999</v>
      </c>
      <c r="F1117">
        <v>0.19389999999999999</v>
      </c>
      <c r="G1117">
        <v>60</v>
      </c>
      <c r="H1117">
        <v>90</v>
      </c>
      <c r="I1117">
        <v>25</v>
      </c>
      <c r="J1117">
        <v>1</v>
      </c>
      <c r="K1117">
        <v>24.096</v>
      </c>
    </row>
    <row r="1118" spans="1:11">
      <c r="A1118">
        <v>0.42509999999999998</v>
      </c>
      <c r="B1118">
        <v>0.13550000000000001</v>
      </c>
      <c r="C1118">
        <v>4.3900000000000002E-2</v>
      </c>
      <c r="D1118">
        <v>3.0800000000000001E-2</v>
      </c>
      <c r="E1118">
        <v>0.17130000000000001</v>
      </c>
      <c r="F1118">
        <v>0.1933</v>
      </c>
      <c r="G1118">
        <v>110</v>
      </c>
      <c r="H1118">
        <v>150</v>
      </c>
      <c r="I1118">
        <v>35</v>
      </c>
      <c r="J1118">
        <v>2</v>
      </c>
      <c r="K1118">
        <v>46.761000000000003</v>
      </c>
    </row>
    <row r="1119" spans="1:11">
      <c r="A1119">
        <v>0.3054</v>
      </c>
      <c r="B1119">
        <v>0.10780000000000001</v>
      </c>
      <c r="C1119">
        <v>0.24440000000000001</v>
      </c>
      <c r="D1119">
        <v>9.4700000000000006E-2</v>
      </c>
      <c r="E1119">
        <v>2.4400000000000002E-2</v>
      </c>
      <c r="F1119">
        <v>0.2233</v>
      </c>
      <c r="G1119">
        <v>70</v>
      </c>
      <c r="H1119">
        <v>120</v>
      </c>
      <c r="I1119">
        <v>37</v>
      </c>
      <c r="J1119">
        <v>1</v>
      </c>
      <c r="K1119">
        <v>21.378</v>
      </c>
    </row>
    <row r="1120" spans="1:11">
      <c r="A1120">
        <v>0.35089999999999999</v>
      </c>
      <c r="B1120">
        <v>7.0400000000000004E-2</v>
      </c>
      <c r="C1120">
        <v>0.21510000000000001</v>
      </c>
      <c r="D1120">
        <v>0</v>
      </c>
      <c r="E1120">
        <v>5.6099999999999997E-2</v>
      </c>
      <c r="F1120">
        <v>0.30740000000000001</v>
      </c>
      <c r="G1120">
        <v>100</v>
      </c>
      <c r="H1120">
        <v>100</v>
      </c>
      <c r="I1120">
        <v>39</v>
      </c>
      <c r="J1120">
        <v>2</v>
      </c>
      <c r="K1120">
        <v>35.090000000000003</v>
      </c>
    </row>
    <row r="1121" spans="1:11">
      <c r="A1121">
        <v>0.3826</v>
      </c>
      <c r="B1121">
        <v>4.6899999999999997E-2</v>
      </c>
      <c r="C1121">
        <v>0.12620000000000001</v>
      </c>
      <c r="D1121">
        <v>0.1547</v>
      </c>
      <c r="E1121">
        <v>6.2100000000000002E-2</v>
      </c>
      <c r="F1121">
        <v>0.2276</v>
      </c>
      <c r="G1121">
        <v>130</v>
      </c>
      <c r="H1121">
        <v>220</v>
      </c>
      <c r="I1121">
        <v>33</v>
      </c>
      <c r="J1121">
        <v>2</v>
      </c>
      <c r="K1121">
        <v>49.738</v>
      </c>
    </row>
    <row r="1122" spans="1:11">
      <c r="A1122">
        <v>0.3775</v>
      </c>
      <c r="B1122">
        <v>4.6300000000000001E-2</v>
      </c>
      <c r="C1122">
        <v>0.2311</v>
      </c>
      <c r="D1122">
        <v>0.1197</v>
      </c>
      <c r="E1122">
        <v>7.8200000000000006E-2</v>
      </c>
      <c r="F1122">
        <v>0.1472</v>
      </c>
      <c r="G1122">
        <v>100</v>
      </c>
      <c r="H1122">
        <v>150</v>
      </c>
      <c r="I1122">
        <v>42</v>
      </c>
      <c r="J1122">
        <v>2</v>
      </c>
      <c r="K1122">
        <v>37.75</v>
      </c>
    </row>
    <row r="1123" spans="1:11">
      <c r="A1123">
        <v>0.36530000000000001</v>
      </c>
      <c r="B1123">
        <v>3.78E-2</v>
      </c>
      <c r="C1123">
        <v>0.20899999999999999</v>
      </c>
      <c r="D1123">
        <v>1.77E-2</v>
      </c>
      <c r="E1123">
        <v>0.15229999999999999</v>
      </c>
      <c r="F1123">
        <v>0.21779999999999999</v>
      </c>
      <c r="G1123">
        <v>100</v>
      </c>
      <c r="H1123">
        <v>130</v>
      </c>
      <c r="I1123">
        <v>30</v>
      </c>
      <c r="J1123">
        <v>2</v>
      </c>
      <c r="K1123">
        <v>36.53</v>
      </c>
    </row>
    <row r="1124" spans="1:11">
      <c r="A1124">
        <v>0.43230000000000002</v>
      </c>
      <c r="B1124">
        <v>5.4100000000000002E-2</v>
      </c>
      <c r="C1124">
        <v>5.4899999999999997E-2</v>
      </c>
      <c r="D1124">
        <v>5.9700000000000003E-2</v>
      </c>
      <c r="E1124">
        <v>0.1182</v>
      </c>
      <c r="F1124">
        <v>0.28070000000000001</v>
      </c>
      <c r="G1124">
        <v>100</v>
      </c>
      <c r="H1124">
        <v>130</v>
      </c>
      <c r="I1124">
        <v>28</v>
      </c>
      <c r="J1124">
        <v>2</v>
      </c>
      <c r="K1124">
        <v>43.23</v>
      </c>
    </row>
    <row r="1125" spans="1:11">
      <c r="A1125">
        <v>0.47449999999999998</v>
      </c>
      <c r="B1125">
        <v>7.0900000000000005E-2</v>
      </c>
      <c r="C1125">
        <v>1.0800000000000001E-2</v>
      </c>
      <c r="D1125">
        <v>5.0000000000000001E-3</v>
      </c>
      <c r="E1125">
        <v>0.30499999999999999</v>
      </c>
      <c r="F1125">
        <v>0.13370000000000001</v>
      </c>
      <c r="G1125">
        <v>60</v>
      </c>
      <c r="H1125">
        <v>100</v>
      </c>
      <c r="I1125">
        <v>41</v>
      </c>
      <c r="J1125">
        <v>1</v>
      </c>
      <c r="K1125">
        <v>28.47</v>
      </c>
    </row>
    <row r="1126" spans="1:11">
      <c r="A1126">
        <v>0.4073</v>
      </c>
      <c r="B1126">
        <v>6.4799999999999996E-2</v>
      </c>
      <c r="C1126">
        <v>0.26350000000000001</v>
      </c>
      <c r="D1126">
        <v>3.61E-2</v>
      </c>
      <c r="E1126">
        <v>8.1000000000000003E-2</v>
      </c>
      <c r="F1126">
        <v>0.14729999999999999</v>
      </c>
      <c r="G1126">
        <v>100</v>
      </c>
      <c r="H1126">
        <v>120</v>
      </c>
      <c r="I1126">
        <v>33</v>
      </c>
      <c r="J1126">
        <v>2</v>
      </c>
      <c r="K1126">
        <v>40.729999999999997</v>
      </c>
    </row>
    <row r="1127" spans="1:11">
      <c r="A1127">
        <v>0.51039999999999996</v>
      </c>
      <c r="B1127">
        <v>0</v>
      </c>
      <c r="C1127">
        <v>4.1200000000000001E-2</v>
      </c>
      <c r="D1127">
        <v>3.6900000000000002E-2</v>
      </c>
      <c r="E1127">
        <v>0.27900000000000003</v>
      </c>
      <c r="F1127">
        <v>0.13239999999999999</v>
      </c>
      <c r="G1127">
        <v>50</v>
      </c>
      <c r="H1127">
        <v>70</v>
      </c>
      <c r="I1127">
        <v>25</v>
      </c>
      <c r="J1127">
        <v>2</v>
      </c>
      <c r="K1127">
        <v>25.52</v>
      </c>
    </row>
    <row r="1128" spans="1:11">
      <c r="A1128">
        <v>0.41880000000000001</v>
      </c>
      <c r="B1128">
        <v>6.3399999999999998E-2</v>
      </c>
      <c r="C1128">
        <v>9.2100000000000001E-2</v>
      </c>
      <c r="D1128">
        <v>6.5299999999999997E-2</v>
      </c>
      <c r="E1128">
        <v>0.15290000000000001</v>
      </c>
      <c r="F1128">
        <v>0.20760000000000001</v>
      </c>
      <c r="G1128">
        <v>90</v>
      </c>
      <c r="H1128">
        <v>200</v>
      </c>
      <c r="I1128">
        <v>43</v>
      </c>
      <c r="J1128">
        <v>2</v>
      </c>
      <c r="K1128">
        <v>37.692</v>
      </c>
    </row>
    <row r="1129" spans="1:11">
      <c r="A1129">
        <v>0.33189999999999997</v>
      </c>
      <c r="B1129">
        <v>4.0800000000000003E-2</v>
      </c>
      <c r="C1129">
        <v>0.16300000000000001</v>
      </c>
      <c r="D1129">
        <v>0.10290000000000001</v>
      </c>
      <c r="E1129">
        <v>8.8099999999999998E-2</v>
      </c>
      <c r="F1129">
        <v>0.27329999999999999</v>
      </c>
      <c r="G1129">
        <v>110</v>
      </c>
      <c r="H1129">
        <v>190</v>
      </c>
      <c r="I1129">
        <v>33</v>
      </c>
      <c r="J1129">
        <v>2</v>
      </c>
      <c r="K1129">
        <v>36.509</v>
      </c>
    </row>
    <row r="1130" spans="1:11">
      <c r="A1130">
        <v>0.31900000000000001</v>
      </c>
      <c r="B1130">
        <v>3.2099999999999997E-2</v>
      </c>
      <c r="C1130">
        <v>0.13239999999999999</v>
      </c>
      <c r="D1130">
        <v>0.21029999999999999</v>
      </c>
      <c r="E1130">
        <v>1.6000000000000001E-3</v>
      </c>
      <c r="F1130">
        <v>0.30459999999999998</v>
      </c>
      <c r="G1130">
        <v>60</v>
      </c>
      <c r="H1130">
        <v>70</v>
      </c>
      <c r="I1130">
        <v>28</v>
      </c>
      <c r="J1130">
        <v>2</v>
      </c>
      <c r="K1130">
        <v>19.14</v>
      </c>
    </row>
    <row r="1131" spans="1:11">
      <c r="A1131">
        <v>0.28720000000000001</v>
      </c>
      <c r="B1131">
        <v>5.9900000000000002E-2</v>
      </c>
      <c r="C1131">
        <v>0.1125</v>
      </c>
      <c r="D1131">
        <v>0.1043</v>
      </c>
      <c r="E1131">
        <v>8.6699999999999999E-2</v>
      </c>
      <c r="F1131">
        <v>0.34920000000000001</v>
      </c>
      <c r="G1131">
        <v>90</v>
      </c>
      <c r="H1131">
        <v>140</v>
      </c>
      <c r="I1131">
        <v>45</v>
      </c>
      <c r="J1131">
        <v>1</v>
      </c>
      <c r="K1131">
        <v>25.847999999999999</v>
      </c>
    </row>
    <row r="1132" spans="1:11">
      <c r="A1132">
        <v>0.29949999999999999</v>
      </c>
      <c r="B1132">
        <v>6.4199999999999993E-2</v>
      </c>
      <c r="C1132">
        <v>0.1047</v>
      </c>
      <c r="D1132">
        <v>0</v>
      </c>
      <c r="E1132">
        <v>0.25979999999999998</v>
      </c>
      <c r="F1132">
        <v>0.27179999999999999</v>
      </c>
      <c r="G1132">
        <v>100</v>
      </c>
      <c r="H1132">
        <v>110</v>
      </c>
      <c r="I1132">
        <v>34</v>
      </c>
      <c r="J1132">
        <v>1</v>
      </c>
      <c r="K1132">
        <v>29.95</v>
      </c>
    </row>
    <row r="1133" spans="1:11">
      <c r="A1133">
        <v>0.36380000000000001</v>
      </c>
      <c r="B1133">
        <v>7.6799999999999993E-2</v>
      </c>
      <c r="C1133">
        <v>4.8500000000000001E-2</v>
      </c>
      <c r="D1133">
        <v>0.18809999999999999</v>
      </c>
      <c r="E1133">
        <v>3.0300000000000001E-2</v>
      </c>
      <c r="F1133">
        <v>0.29249999999999998</v>
      </c>
      <c r="G1133">
        <v>80</v>
      </c>
      <c r="H1133">
        <v>90</v>
      </c>
      <c r="I1133">
        <v>33</v>
      </c>
      <c r="J1133">
        <v>1</v>
      </c>
      <c r="K1133">
        <v>29.103999999999999</v>
      </c>
    </row>
    <row r="1134" spans="1:11">
      <c r="A1134">
        <v>0.51929999999999998</v>
      </c>
      <c r="B1134">
        <v>7.6799999999999993E-2</v>
      </c>
      <c r="C1134">
        <v>6.3E-3</v>
      </c>
      <c r="D1134">
        <v>0</v>
      </c>
      <c r="E1134">
        <v>0.3004</v>
      </c>
      <c r="F1134">
        <v>9.7199999999999995E-2</v>
      </c>
      <c r="G1134">
        <v>60</v>
      </c>
      <c r="H1134">
        <v>130</v>
      </c>
      <c r="I1134">
        <v>51</v>
      </c>
      <c r="J1134">
        <v>1</v>
      </c>
      <c r="K1134">
        <v>31.158000000000001</v>
      </c>
    </row>
    <row r="1135" spans="1:11">
      <c r="A1135">
        <v>0.4168</v>
      </c>
      <c r="B1135">
        <v>0.1171</v>
      </c>
      <c r="C1135">
        <v>7.3000000000000001E-3</v>
      </c>
      <c r="D1135">
        <v>7.0999999999999994E-2</v>
      </c>
      <c r="E1135">
        <v>6.25E-2</v>
      </c>
      <c r="F1135">
        <v>0.32540000000000002</v>
      </c>
      <c r="G1135">
        <v>80</v>
      </c>
      <c r="H1135">
        <v>120</v>
      </c>
      <c r="I1135">
        <v>39</v>
      </c>
      <c r="J1135">
        <v>2</v>
      </c>
      <c r="K1135">
        <v>33.344000000000001</v>
      </c>
    </row>
    <row r="1136" spans="1:11">
      <c r="A1136">
        <v>0.29370000000000002</v>
      </c>
      <c r="B1136">
        <v>3.32E-2</v>
      </c>
      <c r="C1136">
        <v>0</v>
      </c>
      <c r="D1136">
        <v>6.88E-2</v>
      </c>
      <c r="E1136">
        <v>4.9000000000000002E-2</v>
      </c>
      <c r="F1136">
        <v>0.55520000000000003</v>
      </c>
      <c r="G1136">
        <v>120</v>
      </c>
      <c r="H1136">
        <v>200</v>
      </c>
      <c r="I1136">
        <v>43</v>
      </c>
      <c r="J1136">
        <v>2</v>
      </c>
      <c r="K1136">
        <v>35.244</v>
      </c>
    </row>
    <row r="1137" spans="1:11">
      <c r="A1137">
        <v>0.42820000000000003</v>
      </c>
      <c r="B1137">
        <v>3.61E-2</v>
      </c>
      <c r="C1137">
        <v>9.5299999999999996E-2</v>
      </c>
      <c r="D1137">
        <v>9.8900000000000002E-2</v>
      </c>
      <c r="E1137">
        <v>7.5499999999999998E-2</v>
      </c>
      <c r="F1137">
        <v>0.26600000000000001</v>
      </c>
      <c r="G1137">
        <v>140</v>
      </c>
      <c r="H1137">
        <v>110</v>
      </c>
      <c r="I1137">
        <v>40</v>
      </c>
      <c r="J1137">
        <v>2</v>
      </c>
      <c r="K1137">
        <v>59.948</v>
      </c>
    </row>
    <row r="1138" spans="1:11">
      <c r="A1138">
        <v>0.18429999999999999</v>
      </c>
      <c r="B1138">
        <v>4.6199999999999998E-2</v>
      </c>
      <c r="C1138">
        <v>4.8800000000000003E-2</v>
      </c>
      <c r="D1138">
        <v>3.6700000000000003E-2</v>
      </c>
      <c r="E1138">
        <v>0.12230000000000001</v>
      </c>
      <c r="F1138">
        <v>0.56159999999999999</v>
      </c>
      <c r="G1138">
        <v>190</v>
      </c>
      <c r="H1138">
        <v>190</v>
      </c>
      <c r="I1138">
        <v>43</v>
      </c>
      <c r="J1138">
        <v>2</v>
      </c>
      <c r="K1138">
        <v>35.017000000000003</v>
      </c>
    </row>
    <row r="1139" spans="1:11">
      <c r="A1139">
        <v>0.33069999999999999</v>
      </c>
      <c r="B1139">
        <v>5.0299999999999997E-2</v>
      </c>
      <c r="C1139">
        <v>0.14180000000000001</v>
      </c>
      <c r="D1139">
        <v>0.10199999999999999</v>
      </c>
      <c r="E1139">
        <v>0.19639999999999999</v>
      </c>
      <c r="F1139">
        <v>0.1787</v>
      </c>
      <c r="G1139">
        <v>70</v>
      </c>
      <c r="H1139">
        <v>110</v>
      </c>
      <c r="I1139">
        <v>32</v>
      </c>
      <c r="J1139">
        <v>2</v>
      </c>
      <c r="K1139">
        <v>23.149000000000001</v>
      </c>
    </row>
    <row r="1140" spans="1:11">
      <c r="A1140">
        <v>0.46360000000000001</v>
      </c>
      <c r="B1140">
        <v>5.1200000000000002E-2</v>
      </c>
      <c r="C1140">
        <v>0</v>
      </c>
      <c r="D1140">
        <v>3.9699999999999999E-2</v>
      </c>
      <c r="E1140">
        <v>4.1000000000000003E-3</v>
      </c>
      <c r="F1140">
        <v>0.44140000000000001</v>
      </c>
      <c r="G1140">
        <v>60</v>
      </c>
      <c r="H1140">
        <v>100</v>
      </c>
      <c r="I1140">
        <v>29</v>
      </c>
      <c r="J1140">
        <v>1</v>
      </c>
      <c r="K1140">
        <v>27.815999999999999</v>
      </c>
    </row>
    <row r="1141" spans="1:11">
      <c r="A1141">
        <v>0.36070000000000002</v>
      </c>
      <c r="B1141">
        <v>0.2336</v>
      </c>
      <c r="C1141">
        <v>2.4400000000000002E-2</v>
      </c>
      <c r="D1141">
        <v>0.1953</v>
      </c>
      <c r="E1141">
        <v>8.8599999999999998E-2</v>
      </c>
      <c r="F1141">
        <v>9.74E-2</v>
      </c>
      <c r="G1141">
        <v>140</v>
      </c>
      <c r="H1141">
        <v>180</v>
      </c>
      <c r="I1141">
        <v>37</v>
      </c>
      <c r="J1141">
        <v>2</v>
      </c>
      <c r="K1141">
        <v>50.497999999999998</v>
      </c>
    </row>
    <row r="1142" spans="1:11">
      <c r="A1142">
        <v>0.37559999999999999</v>
      </c>
      <c r="B1142">
        <v>8.7999999999999995E-2</v>
      </c>
      <c r="C1142">
        <v>0.1109</v>
      </c>
      <c r="D1142">
        <v>4.1200000000000001E-2</v>
      </c>
      <c r="E1142">
        <v>0.14349999999999999</v>
      </c>
      <c r="F1142">
        <v>0.24079999999999999</v>
      </c>
      <c r="G1142">
        <v>60</v>
      </c>
      <c r="H1142">
        <v>90</v>
      </c>
      <c r="I1142">
        <v>31</v>
      </c>
      <c r="J1142">
        <v>1</v>
      </c>
      <c r="K1142">
        <v>22.536000000000001</v>
      </c>
    </row>
    <row r="1143" spans="1:11">
      <c r="A1143">
        <v>0.32190000000000002</v>
      </c>
      <c r="B1143">
        <v>6.7699999999999996E-2</v>
      </c>
      <c r="C1143">
        <v>0.1532</v>
      </c>
      <c r="D1143">
        <v>0.15740000000000001</v>
      </c>
      <c r="E1143">
        <v>9.3700000000000006E-2</v>
      </c>
      <c r="F1143">
        <v>0.20599999999999999</v>
      </c>
      <c r="G1143">
        <v>140</v>
      </c>
      <c r="H1143">
        <v>140</v>
      </c>
      <c r="I1143">
        <v>37</v>
      </c>
      <c r="J1143">
        <v>2</v>
      </c>
      <c r="K1143">
        <v>45.066000000000003</v>
      </c>
    </row>
    <row r="1144" spans="1:11">
      <c r="A1144">
        <v>0.3896</v>
      </c>
      <c r="B1144">
        <v>8.4599999999999995E-2</v>
      </c>
      <c r="C1144">
        <v>0.06</v>
      </c>
      <c r="D1144">
        <v>0.1123</v>
      </c>
      <c r="E1144">
        <v>1.7500000000000002E-2</v>
      </c>
      <c r="F1144">
        <v>0.33600000000000002</v>
      </c>
      <c r="G1144">
        <v>50</v>
      </c>
      <c r="H1144">
        <v>130</v>
      </c>
      <c r="I1144">
        <v>28</v>
      </c>
      <c r="J1144">
        <v>1</v>
      </c>
      <c r="K1144">
        <v>19.48</v>
      </c>
    </row>
    <row r="1145" spans="1:11">
      <c r="A1145">
        <v>0.437</v>
      </c>
      <c r="B1145">
        <v>7.6300000000000007E-2</v>
      </c>
      <c r="C1145">
        <v>4.3999999999999997E-2</v>
      </c>
      <c r="D1145">
        <v>5.6399999999999999E-2</v>
      </c>
      <c r="E1145">
        <v>0.15140000000000001</v>
      </c>
      <c r="F1145">
        <v>0.23499999999999999</v>
      </c>
      <c r="G1145">
        <v>70</v>
      </c>
      <c r="H1145">
        <v>100</v>
      </c>
      <c r="I1145">
        <v>26</v>
      </c>
      <c r="J1145">
        <v>2</v>
      </c>
      <c r="K1145">
        <v>30.59</v>
      </c>
    </row>
    <row r="1146" spans="1:11">
      <c r="A1146">
        <v>0.43319999999999997</v>
      </c>
      <c r="B1146">
        <v>0.12820000000000001</v>
      </c>
      <c r="C1146">
        <v>8.1000000000000003E-2</v>
      </c>
      <c r="D1146">
        <v>0</v>
      </c>
      <c r="E1146">
        <v>0.2258</v>
      </c>
      <c r="F1146">
        <v>0.13170000000000001</v>
      </c>
      <c r="G1146">
        <v>60</v>
      </c>
      <c r="H1146">
        <v>80</v>
      </c>
      <c r="I1146">
        <v>37</v>
      </c>
      <c r="J1146">
        <v>2</v>
      </c>
      <c r="K1146">
        <v>25.992000000000001</v>
      </c>
    </row>
    <row r="1147" spans="1:11">
      <c r="A1147">
        <v>0.41909999999999997</v>
      </c>
      <c r="B1147">
        <v>0.16270000000000001</v>
      </c>
      <c r="C1147">
        <v>0</v>
      </c>
      <c r="D1147">
        <v>2.8400000000000002E-2</v>
      </c>
      <c r="E1147">
        <v>0</v>
      </c>
      <c r="F1147">
        <v>0.38990000000000002</v>
      </c>
      <c r="G1147">
        <v>30</v>
      </c>
      <c r="H1147">
        <v>120</v>
      </c>
      <c r="I1147">
        <v>49</v>
      </c>
      <c r="J1147">
        <v>1</v>
      </c>
      <c r="K1147">
        <v>12.573</v>
      </c>
    </row>
    <row r="1148" spans="1:11">
      <c r="A1148">
        <v>0.121</v>
      </c>
      <c r="B1148">
        <v>3.0599999999999999E-2</v>
      </c>
      <c r="C1148">
        <v>0.1512</v>
      </c>
      <c r="D1148">
        <v>0</v>
      </c>
      <c r="E1148">
        <v>0.62350000000000005</v>
      </c>
      <c r="F1148">
        <v>7.3700000000000002E-2</v>
      </c>
      <c r="G1148">
        <v>240</v>
      </c>
      <c r="H1148">
        <v>160</v>
      </c>
      <c r="I1148">
        <v>51</v>
      </c>
      <c r="J1148">
        <v>2</v>
      </c>
      <c r="K1148">
        <v>29.04</v>
      </c>
    </row>
    <row r="1149" spans="1:11">
      <c r="A1149">
        <v>8.9399999999999993E-2</v>
      </c>
      <c r="B1149">
        <v>6.0499999999999998E-2</v>
      </c>
      <c r="C1149">
        <v>2.0400000000000001E-2</v>
      </c>
      <c r="D1149">
        <v>2.3199999999999998E-2</v>
      </c>
      <c r="E1149">
        <v>0</v>
      </c>
      <c r="F1149">
        <v>0.80659999999999998</v>
      </c>
      <c r="G1149">
        <v>140</v>
      </c>
      <c r="H1149">
        <v>120</v>
      </c>
      <c r="I1149">
        <v>29</v>
      </c>
      <c r="J1149">
        <v>2</v>
      </c>
      <c r="K1149">
        <v>12.516</v>
      </c>
    </row>
    <row r="1150" spans="1:11">
      <c r="A1150">
        <v>0.4239</v>
      </c>
      <c r="B1150">
        <v>4.58E-2</v>
      </c>
      <c r="C1150">
        <v>6.9099999999999995E-2</v>
      </c>
      <c r="D1150">
        <v>0.17699999999999999</v>
      </c>
      <c r="E1150">
        <v>0.1227</v>
      </c>
      <c r="F1150">
        <v>0.16139999999999999</v>
      </c>
      <c r="G1150">
        <v>70</v>
      </c>
      <c r="H1150">
        <v>120</v>
      </c>
      <c r="I1150">
        <v>33</v>
      </c>
      <c r="J1150">
        <v>2</v>
      </c>
      <c r="K1150">
        <v>29.672999999999998</v>
      </c>
    </row>
    <row r="1151" spans="1:11">
      <c r="A1151">
        <v>0.4602</v>
      </c>
      <c r="B1151">
        <v>4.5900000000000003E-2</v>
      </c>
      <c r="C1151">
        <v>0.23100000000000001</v>
      </c>
      <c r="D1151">
        <v>3.3999999999999998E-3</v>
      </c>
      <c r="E1151">
        <v>5.4899999999999997E-2</v>
      </c>
      <c r="F1151">
        <v>0.2046</v>
      </c>
      <c r="G1151">
        <v>70</v>
      </c>
      <c r="H1151">
        <v>130</v>
      </c>
      <c r="I1151">
        <v>44</v>
      </c>
      <c r="J1151">
        <v>2</v>
      </c>
      <c r="K1151">
        <v>32.213999999999999</v>
      </c>
    </row>
    <row r="1152" spans="1:11">
      <c r="A1152">
        <v>0.46239999999999998</v>
      </c>
      <c r="B1152">
        <v>4.8399999999999999E-2</v>
      </c>
      <c r="C1152">
        <v>1.43E-2</v>
      </c>
      <c r="D1152">
        <v>0</v>
      </c>
      <c r="E1152">
        <v>9.5200000000000007E-2</v>
      </c>
      <c r="F1152">
        <v>0.37980000000000003</v>
      </c>
      <c r="G1152">
        <v>70</v>
      </c>
      <c r="H1152">
        <v>100</v>
      </c>
      <c r="I1152">
        <v>26</v>
      </c>
      <c r="J1152">
        <v>1</v>
      </c>
      <c r="K1152">
        <v>32.368000000000002</v>
      </c>
    </row>
    <row r="1153" spans="1:11">
      <c r="A1153">
        <v>0.44340000000000002</v>
      </c>
      <c r="B1153">
        <v>9.0999999999999998E-2</v>
      </c>
      <c r="C1153">
        <v>0</v>
      </c>
      <c r="D1153">
        <v>4.7500000000000001E-2</v>
      </c>
      <c r="E1153">
        <v>0.26369999999999999</v>
      </c>
      <c r="F1153">
        <v>0.15429999999999999</v>
      </c>
      <c r="G1153">
        <v>40</v>
      </c>
      <c r="H1153">
        <v>110</v>
      </c>
      <c r="I1153">
        <v>23</v>
      </c>
      <c r="J1153">
        <v>1</v>
      </c>
      <c r="K1153">
        <v>17.736000000000001</v>
      </c>
    </row>
    <row r="1154" spans="1:11">
      <c r="A1154">
        <v>0.41880000000000001</v>
      </c>
      <c r="B1154">
        <v>2.3099999999999999E-2</v>
      </c>
      <c r="C1154">
        <v>0.1356</v>
      </c>
      <c r="D1154">
        <v>9.7999999999999997E-3</v>
      </c>
      <c r="E1154">
        <v>2.3800000000000002E-2</v>
      </c>
      <c r="F1154">
        <v>0.38890000000000002</v>
      </c>
      <c r="G1154">
        <v>100</v>
      </c>
      <c r="H1154">
        <v>180</v>
      </c>
      <c r="I1154">
        <v>42</v>
      </c>
      <c r="J1154">
        <v>2</v>
      </c>
      <c r="K1154">
        <v>41.88</v>
      </c>
    </row>
    <row r="1155" spans="1:11">
      <c r="A1155">
        <v>0.30840000000000001</v>
      </c>
      <c r="B1155">
        <v>6.0299999999999999E-2</v>
      </c>
      <c r="C1155">
        <v>7.0800000000000002E-2</v>
      </c>
      <c r="D1155">
        <v>5.6500000000000002E-2</v>
      </c>
      <c r="E1155">
        <v>0.25390000000000001</v>
      </c>
      <c r="F1155">
        <v>0.25019999999999998</v>
      </c>
      <c r="G1155">
        <v>100</v>
      </c>
      <c r="H1155">
        <v>120</v>
      </c>
      <c r="I1155">
        <v>43</v>
      </c>
      <c r="J1155">
        <v>1</v>
      </c>
      <c r="K1155">
        <v>30.84</v>
      </c>
    </row>
    <row r="1156" spans="1:11">
      <c r="A1156">
        <v>0.28160000000000002</v>
      </c>
      <c r="B1156">
        <v>0.13170000000000001</v>
      </c>
      <c r="C1156">
        <v>0.22090000000000001</v>
      </c>
      <c r="D1156">
        <v>8.5800000000000001E-2</v>
      </c>
      <c r="E1156">
        <v>1.6199999999999999E-2</v>
      </c>
      <c r="F1156">
        <v>0.26379999999999998</v>
      </c>
      <c r="G1156">
        <v>100</v>
      </c>
      <c r="H1156">
        <v>130</v>
      </c>
      <c r="I1156">
        <v>38</v>
      </c>
      <c r="J1156">
        <v>2</v>
      </c>
      <c r="K1156">
        <v>28.16</v>
      </c>
    </row>
    <row r="1157" spans="1:11">
      <c r="A1157">
        <v>0.33200000000000002</v>
      </c>
      <c r="B1157">
        <v>5.33E-2</v>
      </c>
      <c r="C1157">
        <v>0.36430000000000001</v>
      </c>
      <c r="D1157">
        <v>8.2400000000000001E-2</v>
      </c>
      <c r="E1157">
        <v>2.1600000000000001E-2</v>
      </c>
      <c r="F1157">
        <v>0.1464</v>
      </c>
      <c r="G1157">
        <v>140</v>
      </c>
      <c r="H1157">
        <v>120</v>
      </c>
      <c r="I1157">
        <v>26</v>
      </c>
      <c r="J1157">
        <v>1</v>
      </c>
      <c r="K1157">
        <v>46.48</v>
      </c>
    </row>
    <row r="1158" spans="1:11">
      <c r="A1158">
        <v>0.52439999999999998</v>
      </c>
      <c r="B1158">
        <v>7.85E-2</v>
      </c>
      <c r="C1158">
        <v>4.0500000000000001E-2</v>
      </c>
      <c r="D1158">
        <v>0</v>
      </c>
      <c r="E1158">
        <v>7.8299999999999995E-2</v>
      </c>
      <c r="F1158">
        <v>0.27829999999999999</v>
      </c>
      <c r="G1158">
        <v>60</v>
      </c>
      <c r="H1158">
        <v>150</v>
      </c>
      <c r="I1158">
        <v>28</v>
      </c>
      <c r="J1158">
        <v>1</v>
      </c>
      <c r="K1158">
        <v>31.463999999999999</v>
      </c>
    </row>
    <row r="1159" spans="1:11">
      <c r="A1159">
        <v>0.2306</v>
      </c>
      <c r="B1159">
        <v>7.1800000000000003E-2</v>
      </c>
      <c r="C1159">
        <v>0.26100000000000001</v>
      </c>
      <c r="D1159">
        <v>0.13719999999999999</v>
      </c>
      <c r="E1159">
        <v>6.3100000000000003E-2</v>
      </c>
      <c r="F1159">
        <v>0.23630000000000001</v>
      </c>
      <c r="G1159">
        <v>70</v>
      </c>
      <c r="H1159">
        <v>100</v>
      </c>
      <c r="I1159">
        <v>29</v>
      </c>
      <c r="J1159">
        <v>1</v>
      </c>
      <c r="K1159">
        <v>16.141999999999999</v>
      </c>
    </row>
    <row r="1160" spans="1:11">
      <c r="A1160">
        <v>0.32169999999999999</v>
      </c>
      <c r="B1160">
        <v>5.7599999999999998E-2</v>
      </c>
      <c r="C1160">
        <v>0.31359999999999999</v>
      </c>
      <c r="D1160">
        <v>1.2200000000000001E-2</v>
      </c>
      <c r="E1160">
        <v>0.125</v>
      </c>
      <c r="F1160">
        <v>0.17</v>
      </c>
      <c r="G1160">
        <v>80</v>
      </c>
      <c r="H1160">
        <v>90</v>
      </c>
      <c r="I1160">
        <v>33</v>
      </c>
      <c r="J1160">
        <v>1</v>
      </c>
      <c r="K1160">
        <v>25.736000000000001</v>
      </c>
    </row>
    <row r="1161" spans="1:11">
      <c r="A1161">
        <v>0.30399999999999999</v>
      </c>
      <c r="B1161">
        <v>8.6199999999999999E-2</v>
      </c>
      <c r="C1161">
        <v>3.2199999999999999E-2</v>
      </c>
      <c r="D1161">
        <v>3.3799999999999997E-2</v>
      </c>
      <c r="E1161">
        <v>0.223</v>
      </c>
      <c r="F1161">
        <v>0.32090000000000002</v>
      </c>
      <c r="G1161">
        <v>70</v>
      </c>
      <c r="H1161">
        <v>100</v>
      </c>
      <c r="I1161">
        <v>28</v>
      </c>
      <c r="J1161">
        <v>1</v>
      </c>
      <c r="K1161">
        <v>21.28</v>
      </c>
    </row>
    <row r="1162" spans="1:11">
      <c r="A1162">
        <v>0.48230000000000001</v>
      </c>
      <c r="B1162">
        <v>0.1084</v>
      </c>
      <c r="C1162">
        <v>0</v>
      </c>
      <c r="D1162">
        <v>0</v>
      </c>
      <c r="E1162">
        <v>0.1429</v>
      </c>
      <c r="F1162">
        <v>0.26640000000000003</v>
      </c>
      <c r="G1162">
        <v>50</v>
      </c>
      <c r="H1162">
        <v>140</v>
      </c>
      <c r="I1162">
        <v>40</v>
      </c>
      <c r="J1162">
        <v>2</v>
      </c>
      <c r="K1162">
        <v>24.114999999999998</v>
      </c>
    </row>
    <row r="1163" spans="1:11">
      <c r="A1163">
        <v>0.22670000000000001</v>
      </c>
      <c r="B1163">
        <v>4.9000000000000002E-2</v>
      </c>
      <c r="C1163">
        <v>0.2243</v>
      </c>
      <c r="D1163">
        <v>8.8099999999999998E-2</v>
      </c>
      <c r="E1163">
        <v>0.17760000000000001</v>
      </c>
      <c r="F1163">
        <v>0.2344</v>
      </c>
      <c r="G1163">
        <v>100</v>
      </c>
      <c r="H1163">
        <v>160</v>
      </c>
      <c r="I1163">
        <v>27</v>
      </c>
      <c r="J1163">
        <v>1</v>
      </c>
      <c r="K1163">
        <v>22.67</v>
      </c>
    </row>
    <row r="1164" spans="1:11">
      <c r="A1164">
        <v>0.25030000000000002</v>
      </c>
      <c r="B1164">
        <v>5.3699999999999998E-2</v>
      </c>
      <c r="C1164">
        <v>0.1164</v>
      </c>
      <c r="D1164">
        <v>8.0399999999999999E-2</v>
      </c>
      <c r="E1164">
        <v>0.11799999999999999</v>
      </c>
      <c r="F1164">
        <v>0.38129999999999997</v>
      </c>
      <c r="G1164">
        <v>120</v>
      </c>
      <c r="H1164">
        <v>160</v>
      </c>
      <c r="I1164">
        <v>42</v>
      </c>
      <c r="J1164">
        <v>1</v>
      </c>
      <c r="K1164">
        <v>30.036000000000001</v>
      </c>
    </row>
    <row r="1165" spans="1:11">
      <c r="A1165">
        <v>0.1973</v>
      </c>
      <c r="B1165">
        <v>3.7900000000000003E-2</v>
      </c>
      <c r="C1165">
        <v>0.35199999999999998</v>
      </c>
      <c r="D1165">
        <v>1.7299999999999999E-2</v>
      </c>
      <c r="E1165">
        <v>0.1003</v>
      </c>
      <c r="F1165">
        <v>0.29509999999999997</v>
      </c>
      <c r="G1165">
        <v>160</v>
      </c>
      <c r="H1165">
        <v>110</v>
      </c>
      <c r="I1165">
        <v>28</v>
      </c>
      <c r="J1165">
        <v>2</v>
      </c>
      <c r="K1165">
        <v>31.568000000000001</v>
      </c>
    </row>
    <row r="1166" spans="1:11">
      <c r="A1166">
        <v>0.34910000000000002</v>
      </c>
      <c r="B1166">
        <v>5.2499999999999998E-2</v>
      </c>
      <c r="C1166">
        <v>7.6300000000000007E-2</v>
      </c>
      <c r="D1166">
        <v>4.6100000000000002E-2</v>
      </c>
      <c r="E1166">
        <v>0.2152</v>
      </c>
      <c r="F1166">
        <v>0.26079999999999998</v>
      </c>
      <c r="G1166">
        <v>90</v>
      </c>
      <c r="H1166">
        <v>120</v>
      </c>
      <c r="I1166">
        <v>33</v>
      </c>
      <c r="J1166">
        <v>2</v>
      </c>
      <c r="K1166">
        <v>31.419</v>
      </c>
    </row>
    <row r="1167" spans="1:11">
      <c r="A1167">
        <v>0.24279999999999999</v>
      </c>
      <c r="B1167">
        <v>3.9100000000000003E-2</v>
      </c>
      <c r="C1167">
        <v>0.129</v>
      </c>
      <c r="D1167">
        <v>0.16009999999999999</v>
      </c>
      <c r="E1167">
        <v>0.19739999999999999</v>
      </c>
      <c r="F1167">
        <v>0.23150000000000001</v>
      </c>
      <c r="G1167">
        <v>120</v>
      </c>
      <c r="H1167">
        <v>190</v>
      </c>
      <c r="I1167">
        <v>42</v>
      </c>
      <c r="J1167">
        <v>1</v>
      </c>
      <c r="K1167">
        <v>29.135999999999999</v>
      </c>
    </row>
    <row r="1168" spans="1:11">
      <c r="A1168">
        <v>0.4108</v>
      </c>
      <c r="B1168">
        <v>5.2200000000000003E-2</v>
      </c>
      <c r="C1168">
        <v>4.4000000000000003E-3</v>
      </c>
      <c r="D1168">
        <v>0.12540000000000001</v>
      </c>
      <c r="E1168">
        <v>5.4000000000000003E-3</v>
      </c>
      <c r="F1168">
        <v>0.40179999999999999</v>
      </c>
      <c r="G1168">
        <v>70</v>
      </c>
      <c r="H1168">
        <v>100</v>
      </c>
      <c r="I1168">
        <v>30</v>
      </c>
      <c r="J1168">
        <v>1</v>
      </c>
      <c r="K1168">
        <v>28.756</v>
      </c>
    </row>
    <row r="1169" spans="1:11">
      <c r="A1169">
        <v>0.33789999999999998</v>
      </c>
      <c r="B1169">
        <v>4.9399999999999999E-2</v>
      </c>
      <c r="C1169">
        <v>0.1303</v>
      </c>
      <c r="D1169">
        <v>7.1000000000000004E-3</v>
      </c>
      <c r="E1169">
        <v>0.33379999999999999</v>
      </c>
      <c r="F1169">
        <v>0.14149999999999999</v>
      </c>
      <c r="G1169">
        <v>70</v>
      </c>
      <c r="H1169">
        <v>180</v>
      </c>
      <c r="I1169">
        <v>33</v>
      </c>
      <c r="J1169">
        <v>1</v>
      </c>
      <c r="K1169">
        <v>23.652999999999999</v>
      </c>
    </row>
    <row r="1170" spans="1:11">
      <c r="A1170">
        <v>0.33650000000000002</v>
      </c>
      <c r="B1170">
        <v>0.13469999999999999</v>
      </c>
      <c r="C1170">
        <v>0.1323</v>
      </c>
      <c r="D1170">
        <v>3.8699999999999998E-2</v>
      </c>
      <c r="E1170">
        <v>5.0200000000000002E-2</v>
      </c>
      <c r="F1170">
        <v>0.30759999999999998</v>
      </c>
      <c r="G1170">
        <v>60</v>
      </c>
      <c r="H1170">
        <v>80</v>
      </c>
      <c r="I1170">
        <v>32</v>
      </c>
      <c r="J1170">
        <v>2</v>
      </c>
      <c r="K1170">
        <v>20.190000000000001</v>
      </c>
    </row>
    <row r="1171" spans="1:11">
      <c r="A1171">
        <v>0.2213</v>
      </c>
      <c r="B1171">
        <v>0.22320000000000001</v>
      </c>
      <c r="C1171">
        <v>0</v>
      </c>
      <c r="D1171">
        <v>0.11700000000000001</v>
      </c>
      <c r="E1171">
        <v>0.1051</v>
      </c>
      <c r="F1171">
        <v>0.33339999999999997</v>
      </c>
      <c r="G1171">
        <v>60</v>
      </c>
      <c r="H1171">
        <v>190</v>
      </c>
      <c r="I1171">
        <v>31</v>
      </c>
      <c r="J1171">
        <v>1</v>
      </c>
      <c r="K1171">
        <v>13.278</v>
      </c>
    </row>
    <row r="1172" spans="1:11">
      <c r="A1172">
        <v>0.36699999999999999</v>
      </c>
      <c r="B1172">
        <v>0.1246</v>
      </c>
      <c r="C1172">
        <v>0.1454</v>
      </c>
      <c r="D1172">
        <v>3.1800000000000002E-2</v>
      </c>
      <c r="E1172">
        <v>6.13E-2</v>
      </c>
      <c r="F1172">
        <v>0.26989999999999997</v>
      </c>
      <c r="G1172">
        <v>80</v>
      </c>
      <c r="H1172">
        <v>110</v>
      </c>
      <c r="I1172">
        <v>32</v>
      </c>
      <c r="J1172">
        <v>1</v>
      </c>
      <c r="K1172">
        <v>29.36</v>
      </c>
    </row>
    <row r="1173" spans="1:11">
      <c r="A1173">
        <v>0.28349999999999997</v>
      </c>
      <c r="B1173">
        <v>6.9000000000000006E-2</v>
      </c>
      <c r="C1173">
        <v>0.3624</v>
      </c>
      <c r="D1173">
        <v>5.16E-2</v>
      </c>
      <c r="E1173">
        <v>2.5999999999999999E-2</v>
      </c>
      <c r="F1173">
        <v>0.20749999999999999</v>
      </c>
      <c r="G1173">
        <v>170</v>
      </c>
      <c r="H1173">
        <v>330</v>
      </c>
      <c r="I1173">
        <v>44</v>
      </c>
      <c r="J1173">
        <v>2</v>
      </c>
      <c r="K1173">
        <v>48.195</v>
      </c>
    </row>
    <row r="1174" spans="1:11">
      <c r="A1174">
        <v>0.21540000000000001</v>
      </c>
      <c r="B1174">
        <v>0.11210000000000001</v>
      </c>
      <c r="C1174">
        <v>0.17199999999999999</v>
      </c>
      <c r="D1174">
        <v>9.8599999999999993E-2</v>
      </c>
      <c r="E1174">
        <v>3.2500000000000001E-2</v>
      </c>
      <c r="F1174">
        <v>0.3695</v>
      </c>
      <c r="G1174">
        <v>110</v>
      </c>
      <c r="H1174">
        <v>280</v>
      </c>
      <c r="I1174">
        <v>36</v>
      </c>
      <c r="J1174">
        <v>2</v>
      </c>
      <c r="K1174">
        <v>23.693999999999999</v>
      </c>
    </row>
    <row r="1175" spans="1:11">
      <c r="A1175">
        <v>0.43190000000000001</v>
      </c>
      <c r="B1175">
        <v>6.7100000000000007E-2</v>
      </c>
      <c r="C1175">
        <v>0.1033</v>
      </c>
      <c r="D1175">
        <v>0</v>
      </c>
      <c r="E1175">
        <v>1.7899999999999999E-2</v>
      </c>
      <c r="F1175">
        <v>0.37969999999999998</v>
      </c>
      <c r="G1175">
        <v>60</v>
      </c>
      <c r="H1175">
        <v>110</v>
      </c>
      <c r="I1175">
        <v>31</v>
      </c>
      <c r="J1175">
        <v>2</v>
      </c>
      <c r="K1175">
        <v>25.914000000000001</v>
      </c>
    </row>
    <row r="1176" spans="1:11">
      <c r="A1176">
        <v>0.56879999999999997</v>
      </c>
      <c r="B1176">
        <v>2.7199999999999998E-2</v>
      </c>
      <c r="C1176">
        <v>7.1099999999999997E-2</v>
      </c>
      <c r="D1176">
        <v>7.6999999999999999E-2</v>
      </c>
      <c r="E1176">
        <v>6.3700000000000007E-2</v>
      </c>
      <c r="F1176">
        <v>0.1923</v>
      </c>
      <c r="G1176">
        <v>150</v>
      </c>
      <c r="H1176">
        <v>70</v>
      </c>
      <c r="I1176">
        <v>29</v>
      </c>
      <c r="J1176">
        <v>2</v>
      </c>
      <c r="K1176">
        <v>85.32</v>
      </c>
    </row>
    <row r="1177" spans="1:11">
      <c r="A1177">
        <v>0.34229999999999999</v>
      </c>
      <c r="B1177">
        <v>0.1166</v>
      </c>
      <c r="C1177">
        <v>0</v>
      </c>
      <c r="D1177">
        <v>0</v>
      </c>
      <c r="E1177">
        <v>0.20480000000000001</v>
      </c>
      <c r="F1177">
        <v>0.33639999999999998</v>
      </c>
      <c r="G1177">
        <v>40</v>
      </c>
      <c r="H1177">
        <v>120</v>
      </c>
      <c r="I1177">
        <v>31</v>
      </c>
      <c r="J1177">
        <v>2</v>
      </c>
      <c r="K1177">
        <v>13.692</v>
      </c>
    </row>
    <row r="1178" spans="1:11">
      <c r="A1178">
        <v>0.42049999999999998</v>
      </c>
      <c r="B1178">
        <v>6.7100000000000007E-2</v>
      </c>
      <c r="C1178">
        <v>0</v>
      </c>
      <c r="D1178">
        <v>2.6800000000000001E-2</v>
      </c>
      <c r="E1178">
        <v>0.22520000000000001</v>
      </c>
      <c r="F1178">
        <v>0.26040000000000002</v>
      </c>
      <c r="G1178">
        <v>50</v>
      </c>
      <c r="H1178">
        <v>110</v>
      </c>
      <c r="I1178">
        <v>29</v>
      </c>
      <c r="J1178">
        <v>1</v>
      </c>
      <c r="K1178">
        <v>21.024999999999999</v>
      </c>
    </row>
    <row r="1179" spans="1:11">
      <c r="A1179">
        <v>0.14080000000000001</v>
      </c>
      <c r="B1179">
        <v>2.6200000000000001E-2</v>
      </c>
      <c r="C1179">
        <v>0.36220000000000002</v>
      </c>
      <c r="D1179">
        <v>0.12959999999999999</v>
      </c>
      <c r="E1179">
        <v>2.3800000000000002E-2</v>
      </c>
      <c r="F1179">
        <v>0.31740000000000002</v>
      </c>
      <c r="G1179">
        <v>190</v>
      </c>
      <c r="H1179">
        <v>150</v>
      </c>
      <c r="I1179">
        <v>26</v>
      </c>
      <c r="J1179">
        <v>1</v>
      </c>
      <c r="K1179">
        <v>26.751999999999999</v>
      </c>
    </row>
    <row r="1180" spans="1:11">
      <c r="A1180">
        <v>0.32900000000000001</v>
      </c>
      <c r="B1180">
        <v>0.1158</v>
      </c>
      <c r="C1180">
        <v>6.6299999999999998E-2</v>
      </c>
      <c r="D1180">
        <v>9.0300000000000005E-2</v>
      </c>
      <c r="E1180">
        <v>0.11990000000000001</v>
      </c>
      <c r="F1180">
        <v>0.27860000000000001</v>
      </c>
      <c r="G1180">
        <v>70</v>
      </c>
      <c r="H1180">
        <v>110</v>
      </c>
      <c r="I1180">
        <v>24</v>
      </c>
      <c r="J1180">
        <v>2</v>
      </c>
      <c r="K1180">
        <v>23.03</v>
      </c>
    </row>
    <row r="1181" spans="1:11">
      <c r="A1181">
        <v>0.43730000000000002</v>
      </c>
      <c r="B1181">
        <v>5.74E-2</v>
      </c>
      <c r="C1181">
        <v>0.1479</v>
      </c>
      <c r="D1181">
        <v>0</v>
      </c>
      <c r="E1181">
        <v>7.51E-2</v>
      </c>
      <c r="F1181">
        <v>0.28220000000000001</v>
      </c>
      <c r="G1181">
        <v>70</v>
      </c>
      <c r="H1181">
        <v>100</v>
      </c>
      <c r="I1181">
        <v>39</v>
      </c>
      <c r="J1181">
        <v>2</v>
      </c>
      <c r="K1181">
        <v>30.611000000000001</v>
      </c>
    </row>
    <row r="1182" spans="1:11">
      <c r="A1182">
        <v>0.24909999999999999</v>
      </c>
      <c r="B1182">
        <v>3.27E-2</v>
      </c>
      <c r="C1182">
        <v>8.0600000000000005E-2</v>
      </c>
      <c r="D1182">
        <v>0.1772</v>
      </c>
      <c r="E1182">
        <v>0.25650000000000001</v>
      </c>
      <c r="F1182">
        <v>0.20399999999999999</v>
      </c>
      <c r="G1182">
        <v>80</v>
      </c>
      <c r="H1182">
        <v>70</v>
      </c>
      <c r="I1182">
        <v>23</v>
      </c>
      <c r="J1182">
        <v>2</v>
      </c>
      <c r="K1182">
        <v>19.928000000000001</v>
      </c>
    </row>
    <row r="1183" spans="1:11">
      <c r="A1183">
        <v>0.34399999999999997</v>
      </c>
      <c r="B1183">
        <v>3.5700000000000003E-2</v>
      </c>
      <c r="C1183">
        <v>0</v>
      </c>
      <c r="D1183">
        <v>0.154</v>
      </c>
      <c r="E1183">
        <v>8.8400000000000006E-2</v>
      </c>
      <c r="F1183">
        <v>0.37790000000000001</v>
      </c>
      <c r="G1183">
        <v>90</v>
      </c>
      <c r="H1183">
        <v>70</v>
      </c>
      <c r="I1183">
        <v>38</v>
      </c>
      <c r="J1183">
        <v>1</v>
      </c>
      <c r="K1183">
        <v>30.96</v>
      </c>
    </row>
    <row r="1184" spans="1:11">
      <c r="A1184">
        <v>0.29909999999999998</v>
      </c>
      <c r="B1184">
        <v>3.6799999999999999E-2</v>
      </c>
      <c r="C1184">
        <v>0.1547</v>
      </c>
      <c r="D1184">
        <v>0.1053</v>
      </c>
      <c r="E1184">
        <v>0.1235</v>
      </c>
      <c r="F1184">
        <v>0.28050000000000003</v>
      </c>
      <c r="G1184">
        <v>120</v>
      </c>
      <c r="H1184">
        <v>160</v>
      </c>
      <c r="I1184">
        <v>30</v>
      </c>
      <c r="J1184">
        <v>1</v>
      </c>
      <c r="K1184">
        <v>35.892000000000003</v>
      </c>
    </row>
    <row r="1185" spans="1:11">
      <c r="A1185">
        <v>0.34110000000000001</v>
      </c>
      <c r="B1185">
        <v>5.4199999999999998E-2</v>
      </c>
      <c r="C1185">
        <v>8.7599999999999997E-2</v>
      </c>
      <c r="D1185">
        <v>7.5800000000000006E-2</v>
      </c>
      <c r="E1185">
        <v>0.14940000000000001</v>
      </c>
      <c r="F1185">
        <v>0.29189999999999999</v>
      </c>
      <c r="G1185">
        <v>120</v>
      </c>
      <c r="H1185">
        <v>110</v>
      </c>
      <c r="I1185">
        <v>33</v>
      </c>
      <c r="J1185">
        <v>2</v>
      </c>
      <c r="K1185">
        <v>40.932000000000002</v>
      </c>
    </row>
    <row r="1186" spans="1:11">
      <c r="A1186">
        <v>0.28010000000000002</v>
      </c>
      <c r="B1186">
        <v>6.6299999999999998E-2</v>
      </c>
      <c r="C1186">
        <v>0.15179999999999999</v>
      </c>
      <c r="D1186">
        <v>0.10929999999999999</v>
      </c>
      <c r="E1186">
        <v>0.1249</v>
      </c>
      <c r="F1186">
        <v>0.2676</v>
      </c>
      <c r="G1186">
        <v>80</v>
      </c>
      <c r="H1186">
        <v>120</v>
      </c>
      <c r="I1186">
        <v>34</v>
      </c>
      <c r="J1186">
        <v>2</v>
      </c>
      <c r="K1186">
        <v>22.408000000000001</v>
      </c>
    </row>
    <row r="1187" spans="1:11">
      <c r="A1187">
        <v>0.4955</v>
      </c>
      <c r="B1187">
        <v>6.9400000000000003E-2</v>
      </c>
      <c r="C1187">
        <v>0.14380000000000001</v>
      </c>
      <c r="D1187">
        <v>2.1700000000000001E-2</v>
      </c>
      <c r="E1187">
        <v>0</v>
      </c>
      <c r="F1187">
        <v>0.26950000000000002</v>
      </c>
      <c r="G1187">
        <v>80</v>
      </c>
      <c r="H1187">
        <v>120</v>
      </c>
      <c r="I1187">
        <v>36</v>
      </c>
      <c r="J1187">
        <v>2</v>
      </c>
      <c r="K1187">
        <v>39.64</v>
      </c>
    </row>
    <row r="1188" spans="1:11">
      <c r="A1188">
        <v>0.3926</v>
      </c>
      <c r="B1188">
        <v>6.3899999999999998E-2</v>
      </c>
      <c r="C1188">
        <v>4.6600000000000003E-2</v>
      </c>
      <c r="D1188">
        <v>0.04</v>
      </c>
      <c r="E1188">
        <v>0.1023</v>
      </c>
      <c r="F1188">
        <v>0.35470000000000002</v>
      </c>
      <c r="G1188">
        <v>130</v>
      </c>
      <c r="H1188">
        <v>250</v>
      </c>
      <c r="I1188">
        <v>52</v>
      </c>
      <c r="J1188">
        <v>1</v>
      </c>
      <c r="K1188">
        <v>51.037999999999997</v>
      </c>
    </row>
    <row r="1189" spans="1:11">
      <c r="A1189">
        <v>0.43090000000000001</v>
      </c>
      <c r="B1189">
        <v>5.8999999999999997E-2</v>
      </c>
      <c r="C1189">
        <v>3.4200000000000001E-2</v>
      </c>
      <c r="D1189">
        <v>9.7299999999999998E-2</v>
      </c>
      <c r="E1189">
        <v>0.16619999999999999</v>
      </c>
      <c r="F1189">
        <v>0.21229999999999999</v>
      </c>
      <c r="G1189">
        <v>60</v>
      </c>
      <c r="H1189">
        <v>130</v>
      </c>
      <c r="I1189">
        <v>27</v>
      </c>
      <c r="J1189">
        <v>2</v>
      </c>
      <c r="K1189">
        <v>25.853999999999999</v>
      </c>
    </row>
    <row r="1190" spans="1:11">
      <c r="A1190">
        <v>0.12889999999999999</v>
      </c>
      <c r="B1190">
        <v>1.7600000000000001E-2</v>
      </c>
      <c r="C1190">
        <v>0.61550000000000005</v>
      </c>
      <c r="D1190">
        <v>2.1899999999999999E-2</v>
      </c>
      <c r="E1190">
        <v>0.125</v>
      </c>
      <c r="F1190">
        <v>9.0999999999999998E-2</v>
      </c>
      <c r="G1190">
        <v>390</v>
      </c>
      <c r="H1190">
        <v>350</v>
      </c>
      <c r="I1190">
        <v>35</v>
      </c>
      <c r="J1190">
        <v>1</v>
      </c>
      <c r="K1190">
        <v>50.271000000000001</v>
      </c>
    </row>
    <row r="1191" spans="1:11">
      <c r="A1191">
        <v>0.34649999999999997</v>
      </c>
      <c r="B1191">
        <v>0.1137</v>
      </c>
      <c r="C1191">
        <v>0.19</v>
      </c>
      <c r="D1191">
        <v>0.12859999999999999</v>
      </c>
      <c r="E1191">
        <v>3.27E-2</v>
      </c>
      <c r="F1191">
        <v>0.1885</v>
      </c>
      <c r="G1191">
        <v>160</v>
      </c>
      <c r="H1191">
        <v>320</v>
      </c>
      <c r="I1191">
        <v>46</v>
      </c>
      <c r="J1191">
        <v>1</v>
      </c>
      <c r="K1191">
        <v>55.44</v>
      </c>
    </row>
    <row r="1192" spans="1:11">
      <c r="A1192">
        <v>0.4728</v>
      </c>
      <c r="B1192">
        <v>5.8500000000000003E-2</v>
      </c>
      <c r="C1192">
        <v>1.06E-2</v>
      </c>
      <c r="D1192">
        <v>0.1019</v>
      </c>
      <c r="E1192">
        <v>0.1047</v>
      </c>
      <c r="F1192">
        <v>0.2515</v>
      </c>
      <c r="G1192">
        <v>70</v>
      </c>
      <c r="H1192">
        <v>100</v>
      </c>
      <c r="I1192">
        <v>39</v>
      </c>
      <c r="J1192">
        <v>2</v>
      </c>
      <c r="K1192">
        <v>33.095999999999997</v>
      </c>
    </row>
    <row r="1193" spans="1:11">
      <c r="A1193">
        <v>0.1416</v>
      </c>
      <c r="B1193">
        <v>0.4803</v>
      </c>
      <c r="C1193">
        <v>0.2177</v>
      </c>
      <c r="D1193">
        <v>1.6000000000000001E-3</v>
      </c>
      <c r="E1193">
        <v>2.3199999999999998E-2</v>
      </c>
      <c r="F1193">
        <v>0.13550000000000001</v>
      </c>
      <c r="G1193">
        <v>120</v>
      </c>
      <c r="H1193">
        <v>170</v>
      </c>
      <c r="I1193">
        <v>50</v>
      </c>
      <c r="J1193">
        <v>2</v>
      </c>
      <c r="K1193">
        <v>16.992000000000001</v>
      </c>
    </row>
    <row r="1194" spans="1:11">
      <c r="A1194">
        <v>0.38</v>
      </c>
      <c r="B1194">
        <v>4.99E-2</v>
      </c>
      <c r="C1194">
        <v>0.17399999999999999</v>
      </c>
      <c r="D1194">
        <v>0.14180000000000001</v>
      </c>
      <c r="E1194">
        <v>4.0500000000000001E-2</v>
      </c>
      <c r="F1194">
        <v>0.21379999999999999</v>
      </c>
      <c r="G1194">
        <v>140</v>
      </c>
      <c r="H1194">
        <v>330</v>
      </c>
      <c r="I1194">
        <v>38</v>
      </c>
      <c r="J1194">
        <v>2</v>
      </c>
      <c r="K1194">
        <v>53.2</v>
      </c>
    </row>
    <row r="1195" spans="1:11">
      <c r="A1195">
        <v>0.42259999999999998</v>
      </c>
      <c r="B1195">
        <v>0.1065</v>
      </c>
      <c r="C1195">
        <v>4.8399999999999999E-2</v>
      </c>
      <c r="D1195">
        <v>3.5000000000000003E-2</v>
      </c>
      <c r="E1195">
        <v>0.13830000000000001</v>
      </c>
      <c r="F1195">
        <v>0.2492</v>
      </c>
      <c r="G1195">
        <v>90</v>
      </c>
      <c r="H1195">
        <v>130</v>
      </c>
      <c r="I1195">
        <v>49</v>
      </c>
      <c r="J1195">
        <v>1</v>
      </c>
      <c r="K1195">
        <v>38.033999999999999</v>
      </c>
    </row>
    <row r="1196" spans="1:11">
      <c r="A1196">
        <v>0.30520000000000003</v>
      </c>
      <c r="B1196">
        <v>7.0800000000000002E-2</v>
      </c>
      <c r="C1196">
        <v>0.18709999999999999</v>
      </c>
      <c r="D1196">
        <v>9.7199999999999995E-2</v>
      </c>
      <c r="E1196">
        <v>0.14580000000000001</v>
      </c>
      <c r="F1196">
        <v>0.19389999999999999</v>
      </c>
      <c r="G1196">
        <v>190</v>
      </c>
      <c r="H1196">
        <v>350</v>
      </c>
      <c r="I1196">
        <v>45</v>
      </c>
      <c r="J1196">
        <v>1</v>
      </c>
      <c r="K1196">
        <v>57.988</v>
      </c>
    </row>
    <row r="1197" spans="1:11">
      <c r="A1197">
        <v>0.33379999999999999</v>
      </c>
      <c r="B1197">
        <v>0.18579999999999999</v>
      </c>
      <c r="C1197">
        <v>0.11219999999999999</v>
      </c>
      <c r="D1197">
        <v>0.1137</v>
      </c>
      <c r="E1197">
        <v>1.44E-2</v>
      </c>
      <c r="F1197">
        <v>0.24010000000000001</v>
      </c>
      <c r="G1197">
        <v>110</v>
      </c>
      <c r="H1197">
        <v>100</v>
      </c>
      <c r="I1197">
        <v>24</v>
      </c>
      <c r="J1197">
        <v>2</v>
      </c>
      <c r="K1197">
        <v>36.718000000000004</v>
      </c>
    </row>
    <row r="1198" spans="1:11">
      <c r="A1198">
        <v>0.37980000000000003</v>
      </c>
      <c r="B1198">
        <v>3.44E-2</v>
      </c>
      <c r="C1198">
        <v>6.7699999999999996E-2</v>
      </c>
      <c r="D1198">
        <v>4.5900000000000003E-2</v>
      </c>
      <c r="E1198">
        <v>0.35049999999999998</v>
      </c>
      <c r="F1198">
        <v>0.1217</v>
      </c>
      <c r="G1198">
        <v>110</v>
      </c>
      <c r="H1198">
        <v>180</v>
      </c>
      <c r="I1198">
        <v>40</v>
      </c>
      <c r="J1198">
        <v>2</v>
      </c>
      <c r="K1198">
        <v>41.777999999999999</v>
      </c>
    </row>
    <row r="1199" spans="1:11">
      <c r="A1199">
        <v>0.38969999999999999</v>
      </c>
      <c r="B1199">
        <v>3.27E-2</v>
      </c>
      <c r="C1199">
        <v>6.5299999999999997E-2</v>
      </c>
      <c r="D1199">
        <v>0.18090000000000001</v>
      </c>
      <c r="E1199">
        <v>2E-3</v>
      </c>
      <c r="F1199">
        <v>0.32950000000000002</v>
      </c>
      <c r="G1199">
        <v>60</v>
      </c>
      <c r="H1199">
        <v>100</v>
      </c>
      <c r="I1199">
        <v>32</v>
      </c>
      <c r="J1199">
        <v>1</v>
      </c>
      <c r="K1199">
        <v>23.382000000000001</v>
      </c>
    </row>
    <row r="1200" spans="1:11">
      <c r="A1200">
        <v>0.28249999999999997</v>
      </c>
      <c r="B1200">
        <v>3.49E-2</v>
      </c>
      <c r="C1200">
        <v>8.0100000000000005E-2</v>
      </c>
      <c r="D1200">
        <v>0.2757</v>
      </c>
      <c r="E1200">
        <v>0.23630000000000001</v>
      </c>
      <c r="F1200">
        <v>9.0399999999999994E-2</v>
      </c>
      <c r="G1200">
        <v>140</v>
      </c>
      <c r="H1200">
        <v>170</v>
      </c>
      <c r="I1200">
        <v>51</v>
      </c>
      <c r="J1200">
        <v>2</v>
      </c>
      <c r="K1200">
        <v>39.549999999999997</v>
      </c>
    </row>
    <row r="1201" spans="1:11">
      <c r="A1201">
        <v>0.44390000000000002</v>
      </c>
      <c r="B1201">
        <v>3.5099999999999999E-2</v>
      </c>
      <c r="C1201">
        <v>7.7899999999999997E-2</v>
      </c>
      <c r="D1201">
        <v>5.9299999999999999E-2</v>
      </c>
      <c r="E1201">
        <v>9.4E-2</v>
      </c>
      <c r="F1201">
        <v>0.28970000000000001</v>
      </c>
      <c r="G1201">
        <v>330</v>
      </c>
      <c r="H1201">
        <v>160</v>
      </c>
      <c r="I1201">
        <v>55</v>
      </c>
      <c r="J1201">
        <v>2</v>
      </c>
      <c r="K1201">
        <v>146.49</v>
      </c>
    </row>
    <row r="1202" spans="1:11">
      <c r="A1202">
        <v>0.30620000000000003</v>
      </c>
      <c r="B1202">
        <v>0.1303</v>
      </c>
      <c r="C1202">
        <v>1.84E-2</v>
      </c>
      <c r="D1202">
        <v>5.91E-2</v>
      </c>
      <c r="E1202">
        <v>0.17</v>
      </c>
      <c r="F1202">
        <v>0.316</v>
      </c>
      <c r="G1202">
        <v>70</v>
      </c>
      <c r="H1202">
        <v>140</v>
      </c>
      <c r="I1202">
        <v>39</v>
      </c>
      <c r="J1202">
        <v>1</v>
      </c>
      <c r="K1202">
        <v>21.434000000000001</v>
      </c>
    </row>
    <row r="1203" spans="1:11">
      <c r="A1203">
        <v>0.31380000000000002</v>
      </c>
      <c r="B1203">
        <v>0.1095</v>
      </c>
      <c r="C1203">
        <v>0.1719</v>
      </c>
      <c r="D1203">
        <v>0.184</v>
      </c>
      <c r="E1203">
        <v>4.4999999999999997E-3</v>
      </c>
      <c r="F1203">
        <v>0.21640000000000001</v>
      </c>
      <c r="G1203">
        <v>110</v>
      </c>
      <c r="H1203">
        <v>460</v>
      </c>
      <c r="I1203">
        <v>28</v>
      </c>
      <c r="J1203">
        <v>1</v>
      </c>
      <c r="K1203">
        <v>34.518000000000001</v>
      </c>
    </row>
    <row r="1204" spans="1:11">
      <c r="A1204">
        <v>0.55559999999999998</v>
      </c>
      <c r="B1204">
        <v>5.5599999999999997E-2</v>
      </c>
      <c r="C1204">
        <v>0</v>
      </c>
      <c r="D1204">
        <v>5.7999999999999996E-3</v>
      </c>
      <c r="E1204">
        <v>8.5800000000000001E-2</v>
      </c>
      <c r="F1204">
        <v>0.29720000000000002</v>
      </c>
      <c r="G1204">
        <v>40</v>
      </c>
      <c r="H1204">
        <v>100</v>
      </c>
      <c r="I1204">
        <v>34</v>
      </c>
      <c r="J1204">
        <v>2</v>
      </c>
      <c r="K1204">
        <v>22.224</v>
      </c>
    </row>
    <row r="1205" spans="1:11">
      <c r="A1205">
        <v>0.50849999999999995</v>
      </c>
      <c r="B1205">
        <v>6.0400000000000002E-2</v>
      </c>
      <c r="C1205">
        <v>0.14910000000000001</v>
      </c>
      <c r="D1205">
        <v>0</v>
      </c>
      <c r="E1205">
        <v>9.9400000000000002E-2</v>
      </c>
      <c r="F1205">
        <v>0.18260000000000001</v>
      </c>
      <c r="G1205">
        <v>40</v>
      </c>
      <c r="H1205">
        <v>120</v>
      </c>
      <c r="I1205">
        <v>35</v>
      </c>
      <c r="J1205">
        <v>1</v>
      </c>
      <c r="K1205">
        <v>20.34</v>
      </c>
    </row>
    <row r="1206" spans="1:11">
      <c r="A1206">
        <v>0.30719999999999997</v>
      </c>
      <c r="B1206">
        <v>3.3700000000000001E-2</v>
      </c>
      <c r="C1206">
        <v>0.32079999999999997</v>
      </c>
      <c r="D1206">
        <v>0.10299999999999999</v>
      </c>
      <c r="E1206">
        <v>2.7400000000000001E-2</v>
      </c>
      <c r="F1206">
        <v>0.2079</v>
      </c>
      <c r="G1206">
        <v>190</v>
      </c>
      <c r="H1206">
        <v>250</v>
      </c>
      <c r="I1206">
        <v>38</v>
      </c>
      <c r="J1206">
        <v>1</v>
      </c>
      <c r="K1206">
        <v>58.368000000000002</v>
      </c>
    </row>
    <row r="1207" spans="1:11">
      <c r="A1207">
        <v>0.499</v>
      </c>
      <c r="B1207">
        <v>8.4900000000000003E-2</v>
      </c>
      <c r="C1207">
        <v>4.5999999999999999E-2</v>
      </c>
      <c r="D1207">
        <v>0</v>
      </c>
      <c r="E1207">
        <v>2.3E-2</v>
      </c>
      <c r="F1207">
        <v>0.34720000000000001</v>
      </c>
      <c r="G1207">
        <v>60</v>
      </c>
      <c r="H1207">
        <v>150</v>
      </c>
      <c r="I1207">
        <v>41</v>
      </c>
      <c r="J1207">
        <v>2</v>
      </c>
      <c r="K1207">
        <v>29.94</v>
      </c>
    </row>
    <row r="1208" spans="1:11">
      <c r="A1208">
        <v>0.58679999999999999</v>
      </c>
      <c r="B1208">
        <v>5.9900000000000002E-2</v>
      </c>
      <c r="C1208">
        <v>0</v>
      </c>
      <c r="D1208">
        <v>0</v>
      </c>
      <c r="E1208">
        <v>8.7900000000000006E-2</v>
      </c>
      <c r="F1208">
        <v>0.26550000000000001</v>
      </c>
      <c r="G1208">
        <v>60</v>
      </c>
      <c r="H1208">
        <v>130</v>
      </c>
      <c r="I1208">
        <v>60</v>
      </c>
      <c r="J1208">
        <v>1</v>
      </c>
      <c r="K1208">
        <v>35.207999999999998</v>
      </c>
    </row>
    <row r="1209" spans="1:11">
      <c r="A1209">
        <v>0.26550000000000001</v>
      </c>
      <c r="B1209">
        <v>3.1399999999999997E-2</v>
      </c>
      <c r="C1209">
        <v>0.31569999999999998</v>
      </c>
      <c r="D1209">
        <v>9.7900000000000001E-2</v>
      </c>
      <c r="E1209">
        <v>8.3699999999999997E-2</v>
      </c>
      <c r="F1209">
        <v>0.20580000000000001</v>
      </c>
      <c r="G1209">
        <v>150</v>
      </c>
      <c r="H1209">
        <v>110</v>
      </c>
      <c r="I1209">
        <v>43</v>
      </c>
      <c r="J1209">
        <v>2</v>
      </c>
      <c r="K1209">
        <v>39.825000000000003</v>
      </c>
    </row>
    <row r="1210" spans="1:11">
      <c r="A1210">
        <v>0.39789999999999998</v>
      </c>
      <c r="B1210">
        <v>0.1101</v>
      </c>
      <c r="C1210">
        <v>0</v>
      </c>
      <c r="D1210">
        <v>0</v>
      </c>
      <c r="E1210">
        <v>0.16600000000000001</v>
      </c>
      <c r="F1210">
        <v>0.32600000000000001</v>
      </c>
      <c r="G1210">
        <v>70</v>
      </c>
      <c r="H1210">
        <v>140</v>
      </c>
      <c r="I1210">
        <v>32</v>
      </c>
      <c r="J1210">
        <v>2</v>
      </c>
      <c r="K1210">
        <v>27.853000000000002</v>
      </c>
    </row>
    <row r="1211" spans="1:11">
      <c r="A1211">
        <v>0.34920000000000001</v>
      </c>
      <c r="B1211">
        <v>6.3399999999999998E-2</v>
      </c>
      <c r="C1211">
        <v>3.44E-2</v>
      </c>
      <c r="D1211">
        <v>0.18559999999999999</v>
      </c>
      <c r="E1211">
        <v>0.1633</v>
      </c>
      <c r="F1211">
        <v>0.2041</v>
      </c>
      <c r="G1211">
        <v>80</v>
      </c>
      <c r="H1211">
        <v>160</v>
      </c>
      <c r="I1211">
        <v>33</v>
      </c>
      <c r="J1211">
        <v>2</v>
      </c>
      <c r="K1211">
        <v>27.936</v>
      </c>
    </row>
    <row r="1212" spans="1:11">
      <c r="A1212">
        <v>0.45300000000000001</v>
      </c>
      <c r="B1212">
        <v>0.16589999999999999</v>
      </c>
      <c r="C1212">
        <v>5.7000000000000002E-3</v>
      </c>
      <c r="D1212">
        <v>0</v>
      </c>
      <c r="E1212">
        <v>0</v>
      </c>
      <c r="F1212">
        <v>0.37540000000000001</v>
      </c>
      <c r="G1212">
        <v>60</v>
      </c>
      <c r="H1212">
        <v>100</v>
      </c>
      <c r="I1212">
        <v>29</v>
      </c>
      <c r="J1212">
        <v>2</v>
      </c>
      <c r="K1212">
        <v>27.18</v>
      </c>
    </row>
    <row r="1213" spans="1:11">
      <c r="A1213">
        <v>0.46079999999999999</v>
      </c>
      <c r="B1213">
        <v>0.14660000000000001</v>
      </c>
      <c r="C1213">
        <v>0</v>
      </c>
      <c r="D1213">
        <v>2.5000000000000001E-2</v>
      </c>
      <c r="E1213">
        <v>0</v>
      </c>
      <c r="F1213">
        <v>0.36759999999999998</v>
      </c>
      <c r="G1213">
        <v>90</v>
      </c>
      <c r="H1213">
        <v>260</v>
      </c>
      <c r="I1213">
        <v>59</v>
      </c>
      <c r="J1213">
        <v>2</v>
      </c>
      <c r="K1213">
        <v>41.472000000000001</v>
      </c>
    </row>
    <row r="1214" spans="1:11">
      <c r="A1214">
        <v>0.3352</v>
      </c>
      <c r="B1214">
        <v>5.9299999999999999E-2</v>
      </c>
      <c r="C1214">
        <v>3.6200000000000003E-2</v>
      </c>
      <c r="D1214">
        <v>5.0099999999999999E-2</v>
      </c>
      <c r="E1214">
        <v>4.6199999999999998E-2</v>
      </c>
      <c r="F1214">
        <v>0.47299999999999998</v>
      </c>
      <c r="G1214">
        <v>70</v>
      </c>
      <c r="H1214">
        <v>90</v>
      </c>
      <c r="I1214">
        <v>23</v>
      </c>
      <c r="J1214">
        <v>1</v>
      </c>
      <c r="K1214">
        <v>23.463999999999999</v>
      </c>
    </row>
    <row r="1215" spans="1:11">
      <c r="A1215">
        <v>0.2046</v>
      </c>
      <c r="B1215">
        <v>7.6600000000000001E-2</v>
      </c>
      <c r="C1215">
        <v>7.6300000000000007E-2</v>
      </c>
      <c r="D1215">
        <v>1.89E-2</v>
      </c>
      <c r="E1215">
        <v>0.17960000000000001</v>
      </c>
      <c r="F1215">
        <v>0.44409999999999999</v>
      </c>
      <c r="G1215">
        <v>110</v>
      </c>
      <c r="H1215">
        <v>190</v>
      </c>
      <c r="I1215">
        <v>38</v>
      </c>
      <c r="J1215">
        <v>1</v>
      </c>
      <c r="K1215">
        <v>22.506</v>
      </c>
    </row>
    <row r="1216" spans="1:11">
      <c r="A1216">
        <v>0.36280000000000001</v>
      </c>
      <c r="B1216">
        <v>3.4299999999999997E-2</v>
      </c>
      <c r="C1216">
        <v>0.12670000000000001</v>
      </c>
      <c r="D1216">
        <v>1.2500000000000001E-2</v>
      </c>
      <c r="E1216">
        <v>0.1956</v>
      </c>
      <c r="F1216">
        <v>0.2681</v>
      </c>
      <c r="G1216">
        <v>150</v>
      </c>
      <c r="H1216">
        <v>120</v>
      </c>
      <c r="I1216">
        <v>29</v>
      </c>
      <c r="J1216">
        <v>2</v>
      </c>
      <c r="K1216">
        <v>54.42</v>
      </c>
    </row>
    <row r="1217" spans="1:11">
      <c r="A1217">
        <v>0.3332</v>
      </c>
      <c r="B1217">
        <v>8.8599999999999998E-2</v>
      </c>
      <c r="C1217">
        <v>6.9500000000000006E-2</v>
      </c>
      <c r="D1217">
        <v>8.6300000000000002E-2</v>
      </c>
      <c r="E1217">
        <v>0.14610000000000001</v>
      </c>
      <c r="F1217">
        <v>0.27650000000000002</v>
      </c>
      <c r="G1217">
        <v>120</v>
      </c>
      <c r="H1217">
        <v>180</v>
      </c>
      <c r="I1217">
        <v>43</v>
      </c>
      <c r="J1217">
        <v>1</v>
      </c>
      <c r="K1217">
        <v>39.984000000000002</v>
      </c>
    </row>
    <row r="1218" spans="1:11">
      <c r="A1218">
        <v>0.4516</v>
      </c>
      <c r="B1218">
        <v>3.9899999999999998E-2</v>
      </c>
      <c r="C1218">
        <v>0</v>
      </c>
      <c r="D1218">
        <v>0.2082</v>
      </c>
      <c r="E1218">
        <v>2.06E-2</v>
      </c>
      <c r="F1218">
        <v>0.27979999999999999</v>
      </c>
      <c r="G1218">
        <v>90</v>
      </c>
      <c r="H1218">
        <v>110</v>
      </c>
      <c r="I1218">
        <v>39</v>
      </c>
      <c r="J1218">
        <v>2</v>
      </c>
      <c r="K1218">
        <v>40.643999999999998</v>
      </c>
    </row>
    <row r="1219" spans="1:11">
      <c r="A1219">
        <v>0.28160000000000002</v>
      </c>
      <c r="B1219">
        <v>0.1101</v>
      </c>
      <c r="C1219">
        <v>0.14729999999999999</v>
      </c>
      <c r="D1219">
        <v>4.24E-2</v>
      </c>
      <c r="E1219">
        <v>0.20619999999999999</v>
      </c>
      <c r="F1219">
        <v>0.21240000000000001</v>
      </c>
      <c r="G1219">
        <v>140</v>
      </c>
      <c r="H1219">
        <v>180</v>
      </c>
      <c r="I1219">
        <v>39</v>
      </c>
      <c r="J1219">
        <v>1</v>
      </c>
      <c r="K1219">
        <v>39.423999999999999</v>
      </c>
    </row>
    <row r="1220" spans="1:11">
      <c r="A1220">
        <v>0.25109999999999999</v>
      </c>
      <c r="B1220">
        <v>0.2016</v>
      </c>
      <c r="C1220">
        <v>0.1923</v>
      </c>
      <c r="D1220">
        <v>6.8699999999999997E-2</v>
      </c>
      <c r="E1220">
        <v>0.1358</v>
      </c>
      <c r="F1220">
        <v>0.15049999999999999</v>
      </c>
      <c r="G1220">
        <v>90</v>
      </c>
      <c r="H1220">
        <v>140</v>
      </c>
      <c r="I1220">
        <v>28</v>
      </c>
      <c r="J1220">
        <v>1</v>
      </c>
      <c r="K1220">
        <v>22.599</v>
      </c>
    </row>
    <row r="1221" spans="1:11">
      <c r="A1221">
        <v>0.30180000000000001</v>
      </c>
      <c r="B1221">
        <v>9.5399999999999999E-2</v>
      </c>
      <c r="C1221">
        <v>0.28470000000000001</v>
      </c>
      <c r="D1221">
        <v>2.8500000000000001E-2</v>
      </c>
      <c r="E1221">
        <v>0.1429</v>
      </c>
      <c r="F1221">
        <v>0.14680000000000001</v>
      </c>
      <c r="G1221">
        <v>90</v>
      </c>
      <c r="H1221">
        <v>150</v>
      </c>
      <c r="I1221">
        <v>41</v>
      </c>
      <c r="J1221">
        <v>2</v>
      </c>
      <c r="K1221">
        <v>27.161999999999999</v>
      </c>
    </row>
    <row r="1222" spans="1:11">
      <c r="A1222">
        <v>0.4914</v>
      </c>
      <c r="B1222">
        <v>6.3399999999999998E-2</v>
      </c>
      <c r="C1222">
        <v>7.4499999999999997E-2</v>
      </c>
      <c r="D1222">
        <v>2.46E-2</v>
      </c>
      <c r="E1222">
        <v>5.4800000000000001E-2</v>
      </c>
      <c r="F1222">
        <v>0.29139999999999999</v>
      </c>
      <c r="G1222">
        <v>40</v>
      </c>
      <c r="H1222">
        <v>80</v>
      </c>
      <c r="I1222">
        <v>30</v>
      </c>
      <c r="J1222">
        <v>1</v>
      </c>
      <c r="K1222">
        <v>19.655999999999999</v>
      </c>
    </row>
    <row r="1223" spans="1:11">
      <c r="A1223">
        <v>0.20349999999999999</v>
      </c>
      <c r="B1223">
        <v>3.5999999999999997E-2</v>
      </c>
      <c r="C1223">
        <v>0.1615</v>
      </c>
      <c r="D1223">
        <v>1.3599999999999999E-2</v>
      </c>
      <c r="E1223">
        <v>0.50570000000000004</v>
      </c>
      <c r="F1223">
        <v>7.9699999999999993E-2</v>
      </c>
      <c r="G1223">
        <v>130</v>
      </c>
      <c r="H1223">
        <v>110</v>
      </c>
      <c r="I1223">
        <v>32</v>
      </c>
      <c r="J1223">
        <v>2</v>
      </c>
      <c r="K1223">
        <v>26.454999999999998</v>
      </c>
    </row>
    <row r="1224" spans="1:11">
      <c r="A1224">
        <v>0.44109999999999999</v>
      </c>
      <c r="B1224">
        <v>0.10059999999999999</v>
      </c>
      <c r="C1224">
        <v>0.17380000000000001</v>
      </c>
      <c r="D1224">
        <v>0</v>
      </c>
      <c r="E1224">
        <v>3.6900000000000002E-2</v>
      </c>
      <c r="F1224">
        <v>0.2477</v>
      </c>
      <c r="G1224">
        <v>60</v>
      </c>
      <c r="H1224">
        <v>100</v>
      </c>
      <c r="I1224">
        <v>55</v>
      </c>
      <c r="J1224">
        <v>2</v>
      </c>
      <c r="K1224">
        <v>26.466000000000001</v>
      </c>
    </row>
    <row r="1225" spans="1:11">
      <c r="A1225">
        <v>0.2616</v>
      </c>
      <c r="B1225">
        <v>2.9499999999999998E-2</v>
      </c>
      <c r="C1225">
        <v>0.2082</v>
      </c>
      <c r="D1225">
        <v>6.54E-2</v>
      </c>
      <c r="E1225">
        <v>0.14580000000000001</v>
      </c>
      <c r="F1225">
        <v>0.28949999999999998</v>
      </c>
      <c r="G1225">
        <v>130</v>
      </c>
      <c r="H1225">
        <v>90</v>
      </c>
      <c r="I1225">
        <v>32</v>
      </c>
      <c r="J1225">
        <v>2</v>
      </c>
      <c r="K1225">
        <v>34.008000000000003</v>
      </c>
    </row>
    <row r="1226" spans="1:11">
      <c r="A1226">
        <v>0.65669999999999995</v>
      </c>
      <c r="B1226">
        <v>0.08</v>
      </c>
      <c r="C1226">
        <v>0.11550000000000001</v>
      </c>
      <c r="D1226">
        <v>1.6199999999999999E-2</v>
      </c>
      <c r="E1226">
        <v>0</v>
      </c>
      <c r="F1226">
        <v>0.13159999999999999</v>
      </c>
      <c r="G1226">
        <v>70</v>
      </c>
      <c r="H1226">
        <v>110</v>
      </c>
      <c r="I1226">
        <v>36</v>
      </c>
      <c r="J1226">
        <v>2</v>
      </c>
      <c r="K1226">
        <v>45.969000000000001</v>
      </c>
    </row>
    <row r="1227" spans="1:11">
      <c r="A1227">
        <v>0.37519999999999998</v>
      </c>
      <c r="B1227">
        <v>2.7099999999999999E-2</v>
      </c>
      <c r="C1227">
        <v>0.18629999999999999</v>
      </c>
      <c r="D1227">
        <v>2.06E-2</v>
      </c>
      <c r="E1227">
        <v>0.22670000000000001</v>
      </c>
      <c r="F1227">
        <v>0.1641</v>
      </c>
      <c r="G1227">
        <v>90</v>
      </c>
      <c r="H1227">
        <v>150</v>
      </c>
      <c r="I1227">
        <v>44</v>
      </c>
      <c r="J1227">
        <v>1</v>
      </c>
      <c r="K1227">
        <v>33.768000000000001</v>
      </c>
    </row>
    <row r="1228" spans="1:11">
      <c r="A1228">
        <v>0.251</v>
      </c>
      <c r="B1228">
        <v>0.11899999999999999</v>
      </c>
      <c r="C1228">
        <v>1.7000000000000001E-2</v>
      </c>
      <c r="D1228">
        <v>3.0700000000000002E-2</v>
      </c>
      <c r="E1228">
        <v>0.1171</v>
      </c>
      <c r="F1228">
        <v>0.46510000000000001</v>
      </c>
      <c r="G1228">
        <v>290</v>
      </c>
      <c r="H1228">
        <v>360</v>
      </c>
      <c r="I1228">
        <v>36</v>
      </c>
      <c r="J1228">
        <v>2</v>
      </c>
      <c r="K1228">
        <v>72.790000000000006</v>
      </c>
    </row>
    <row r="1229" spans="1:11">
      <c r="A1229">
        <v>0.11020000000000001</v>
      </c>
      <c r="B1229">
        <v>3.0499999999999999E-2</v>
      </c>
      <c r="C1229">
        <v>0</v>
      </c>
      <c r="D1229">
        <v>1.2999999999999999E-2</v>
      </c>
      <c r="E1229">
        <v>0.73829999999999996</v>
      </c>
      <c r="F1229">
        <v>0.108</v>
      </c>
      <c r="G1229">
        <v>140</v>
      </c>
      <c r="H1229">
        <v>130</v>
      </c>
      <c r="I1229">
        <v>29</v>
      </c>
      <c r="J1229">
        <v>2</v>
      </c>
      <c r="K1229">
        <v>15.428000000000001</v>
      </c>
    </row>
    <row r="1230" spans="1:11">
      <c r="A1230">
        <v>0.28389999999999999</v>
      </c>
      <c r="B1230">
        <v>0.1608</v>
      </c>
      <c r="C1230">
        <v>0.14499999999999999</v>
      </c>
      <c r="D1230">
        <v>0.1188</v>
      </c>
      <c r="E1230">
        <v>6.4600000000000005E-2</v>
      </c>
      <c r="F1230">
        <v>0.22689999999999999</v>
      </c>
      <c r="G1230">
        <v>90</v>
      </c>
      <c r="H1230">
        <v>90</v>
      </c>
      <c r="I1230">
        <v>22</v>
      </c>
      <c r="J1230">
        <v>1</v>
      </c>
      <c r="K1230">
        <v>25.550999999999998</v>
      </c>
    </row>
    <row r="1231" spans="1:11">
      <c r="A1231">
        <v>0.40870000000000001</v>
      </c>
      <c r="B1231">
        <v>8.3699999999999997E-2</v>
      </c>
      <c r="C1231">
        <v>0.13600000000000001</v>
      </c>
      <c r="D1231">
        <v>0.19</v>
      </c>
      <c r="E1231">
        <v>1.7500000000000002E-2</v>
      </c>
      <c r="F1231">
        <v>0.1641</v>
      </c>
      <c r="G1231">
        <v>150</v>
      </c>
      <c r="H1231">
        <v>230</v>
      </c>
      <c r="I1231">
        <v>42</v>
      </c>
      <c r="J1231">
        <v>2</v>
      </c>
      <c r="K1231">
        <v>61.305</v>
      </c>
    </row>
    <row r="1232" spans="1:11">
      <c r="A1232">
        <v>0.2414</v>
      </c>
      <c r="B1232">
        <v>8.09E-2</v>
      </c>
      <c r="C1232">
        <v>0.13450000000000001</v>
      </c>
      <c r="D1232">
        <v>0</v>
      </c>
      <c r="E1232">
        <v>0.1661</v>
      </c>
      <c r="F1232">
        <v>0.37709999999999999</v>
      </c>
      <c r="G1232">
        <v>80</v>
      </c>
      <c r="H1232">
        <v>80</v>
      </c>
      <c r="I1232">
        <v>30</v>
      </c>
      <c r="J1232">
        <v>1</v>
      </c>
      <c r="K1232">
        <v>19.312000000000001</v>
      </c>
    </row>
    <row r="1233" spans="1:11">
      <c r="A1233">
        <v>0.33789999999999998</v>
      </c>
      <c r="B1233">
        <v>9.1499999999999998E-2</v>
      </c>
      <c r="C1233">
        <v>6.7799999999999999E-2</v>
      </c>
      <c r="D1233">
        <v>0</v>
      </c>
      <c r="E1233">
        <v>0.26340000000000002</v>
      </c>
      <c r="F1233">
        <v>0.2394</v>
      </c>
      <c r="G1233">
        <v>110</v>
      </c>
      <c r="H1233">
        <v>160</v>
      </c>
      <c r="I1233">
        <v>37</v>
      </c>
      <c r="J1233">
        <v>2</v>
      </c>
      <c r="K1233">
        <v>37.168999999999997</v>
      </c>
    </row>
    <row r="1234" spans="1:11">
      <c r="A1234">
        <v>0.57879999999999998</v>
      </c>
      <c r="B1234">
        <v>0.10829999999999999</v>
      </c>
      <c r="C1234">
        <v>0.1197</v>
      </c>
      <c r="D1234">
        <v>2.1399999999999999E-2</v>
      </c>
      <c r="E1234">
        <v>0</v>
      </c>
      <c r="F1234">
        <v>0.17169999999999999</v>
      </c>
      <c r="G1234">
        <v>80</v>
      </c>
      <c r="H1234">
        <v>200</v>
      </c>
      <c r="I1234">
        <v>39</v>
      </c>
      <c r="J1234">
        <v>2</v>
      </c>
      <c r="K1234">
        <v>46.304000000000002</v>
      </c>
    </row>
    <row r="1235" spans="1:11">
      <c r="A1235">
        <v>0.46750000000000003</v>
      </c>
      <c r="B1235">
        <v>0.1145</v>
      </c>
      <c r="C1235">
        <v>0.1736</v>
      </c>
      <c r="D1235">
        <v>0</v>
      </c>
      <c r="E1235">
        <v>7.7600000000000002E-2</v>
      </c>
      <c r="F1235">
        <v>0.16689999999999999</v>
      </c>
      <c r="G1235">
        <v>70</v>
      </c>
      <c r="H1235">
        <v>100</v>
      </c>
      <c r="I1235">
        <v>42</v>
      </c>
      <c r="J1235">
        <v>2</v>
      </c>
      <c r="K1235">
        <v>32.725000000000001</v>
      </c>
    </row>
    <row r="1236" spans="1:11">
      <c r="A1236">
        <v>0.33589999999999998</v>
      </c>
      <c r="B1236">
        <v>4.0300000000000002E-2</v>
      </c>
      <c r="C1236">
        <v>0.26419999999999999</v>
      </c>
      <c r="D1236">
        <v>6.0699999999999997E-2</v>
      </c>
      <c r="E1236">
        <v>0.17119999999999999</v>
      </c>
      <c r="F1236">
        <v>0.1278</v>
      </c>
      <c r="G1236">
        <v>190</v>
      </c>
      <c r="H1236">
        <v>200</v>
      </c>
      <c r="I1236">
        <v>56</v>
      </c>
      <c r="J1236">
        <v>1</v>
      </c>
      <c r="K1236">
        <v>63.820999999999998</v>
      </c>
    </row>
    <row r="1237" spans="1:11">
      <c r="A1237">
        <v>0.12970000000000001</v>
      </c>
      <c r="B1237">
        <v>6.6100000000000006E-2</v>
      </c>
      <c r="C1237">
        <v>5.3100000000000001E-2</v>
      </c>
      <c r="D1237">
        <v>2.1499999999999998E-2</v>
      </c>
      <c r="E1237">
        <v>0.1174</v>
      </c>
      <c r="F1237">
        <v>0.61219999999999997</v>
      </c>
      <c r="G1237">
        <v>80</v>
      </c>
      <c r="H1237">
        <v>110</v>
      </c>
      <c r="I1237">
        <v>33</v>
      </c>
      <c r="J1237">
        <v>2</v>
      </c>
      <c r="K1237">
        <v>10.375999999999999</v>
      </c>
    </row>
    <row r="1238" spans="1:11">
      <c r="A1238">
        <v>0.3105</v>
      </c>
      <c r="B1238">
        <v>6.25E-2</v>
      </c>
      <c r="C1238">
        <v>0.3034</v>
      </c>
      <c r="D1238">
        <v>8.0799999999999997E-2</v>
      </c>
      <c r="E1238">
        <v>4.0000000000000002E-4</v>
      </c>
      <c r="F1238">
        <v>0.2424</v>
      </c>
      <c r="G1238">
        <v>90</v>
      </c>
      <c r="H1238">
        <v>130</v>
      </c>
      <c r="I1238">
        <v>36</v>
      </c>
      <c r="J1238">
        <v>1</v>
      </c>
      <c r="K1238">
        <v>27.945</v>
      </c>
    </row>
    <row r="1239" spans="1:11">
      <c r="A1239">
        <v>0.43070000000000003</v>
      </c>
      <c r="B1239">
        <v>3.4099999999999998E-2</v>
      </c>
      <c r="C1239">
        <v>0.1731</v>
      </c>
      <c r="D1239">
        <v>0</v>
      </c>
      <c r="E1239">
        <v>0.13669999999999999</v>
      </c>
      <c r="F1239">
        <v>0.22539999999999999</v>
      </c>
      <c r="G1239">
        <v>80</v>
      </c>
      <c r="H1239">
        <v>90</v>
      </c>
      <c r="I1239">
        <v>31</v>
      </c>
      <c r="J1239">
        <v>2</v>
      </c>
      <c r="K1239">
        <v>34.456000000000003</v>
      </c>
    </row>
    <row r="1240" spans="1:11">
      <c r="A1240">
        <v>0.29649999999999999</v>
      </c>
      <c r="B1240">
        <v>5.9400000000000001E-2</v>
      </c>
      <c r="C1240">
        <v>0.1145</v>
      </c>
      <c r="D1240">
        <v>4.8399999999999999E-2</v>
      </c>
      <c r="E1240">
        <v>0.22109999999999999</v>
      </c>
      <c r="F1240">
        <v>0.26</v>
      </c>
      <c r="G1240">
        <v>110</v>
      </c>
      <c r="H1240">
        <v>120</v>
      </c>
      <c r="I1240">
        <v>39</v>
      </c>
      <c r="J1240">
        <v>2</v>
      </c>
      <c r="K1240">
        <v>32.615000000000002</v>
      </c>
    </row>
    <row r="1241" spans="1:11">
      <c r="A1241">
        <v>0.38769999999999999</v>
      </c>
      <c r="B1241">
        <v>0.16919999999999999</v>
      </c>
      <c r="C1241">
        <v>1.2200000000000001E-2</v>
      </c>
      <c r="D1241">
        <v>2.5399999999999999E-2</v>
      </c>
      <c r="E1241">
        <v>0.18940000000000001</v>
      </c>
      <c r="F1241">
        <v>0.216</v>
      </c>
      <c r="G1241">
        <v>90</v>
      </c>
      <c r="H1241">
        <v>150</v>
      </c>
      <c r="I1241">
        <v>36</v>
      </c>
      <c r="J1241">
        <v>1</v>
      </c>
      <c r="K1241">
        <v>34.893000000000001</v>
      </c>
    </row>
    <row r="1242" spans="1:11">
      <c r="A1242">
        <v>0.309</v>
      </c>
      <c r="B1242">
        <v>0.1235</v>
      </c>
      <c r="C1242">
        <v>0.15859999999999999</v>
      </c>
      <c r="D1242">
        <v>9.6699999999999994E-2</v>
      </c>
      <c r="E1242">
        <v>6.7299999999999999E-2</v>
      </c>
      <c r="F1242">
        <v>0.245</v>
      </c>
      <c r="G1242">
        <v>100</v>
      </c>
      <c r="H1242">
        <v>50</v>
      </c>
      <c r="I1242">
        <v>49</v>
      </c>
      <c r="J1242">
        <v>1</v>
      </c>
      <c r="K1242">
        <v>30.9</v>
      </c>
    </row>
    <row r="1243" spans="1:11">
      <c r="A1243">
        <v>0.313</v>
      </c>
      <c r="B1243">
        <v>5.11E-2</v>
      </c>
      <c r="C1243">
        <v>0.18029999999999999</v>
      </c>
      <c r="D1243">
        <v>6.4000000000000003E-3</v>
      </c>
      <c r="E1243">
        <v>9.2100000000000001E-2</v>
      </c>
      <c r="F1243">
        <v>0.35709999999999997</v>
      </c>
      <c r="G1243">
        <v>120</v>
      </c>
      <c r="H1243">
        <v>110</v>
      </c>
      <c r="I1243">
        <v>32</v>
      </c>
      <c r="J1243">
        <v>2</v>
      </c>
      <c r="K1243">
        <v>37.56</v>
      </c>
    </row>
    <row r="1244" spans="1:11">
      <c r="A1244">
        <v>0.48070000000000002</v>
      </c>
      <c r="B1244">
        <v>4.5499999999999999E-2</v>
      </c>
      <c r="C1244">
        <v>7.3800000000000004E-2</v>
      </c>
      <c r="D1244">
        <v>6.7599999999999993E-2</v>
      </c>
      <c r="E1244">
        <v>0</v>
      </c>
      <c r="F1244">
        <v>0.33229999999999998</v>
      </c>
      <c r="G1244">
        <v>140</v>
      </c>
      <c r="H1244">
        <v>120</v>
      </c>
      <c r="I1244">
        <v>33</v>
      </c>
      <c r="J1244">
        <v>2</v>
      </c>
      <c r="K1244">
        <v>67.298000000000002</v>
      </c>
    </row>
    <row r="1245" spans="1:11">
      <c r="A1245">
        <v>0.31809999999999999</v>
      </c>
      <c r="B1245">
        <v>4.7300000000000002E-2</v>
      </c>
      <c r="C1245">
        <v>0.11</v>
      </c>
      <c r="D1245">
        <v>0.17899999999999999</v>
      </c>
      <c r="E1245">
        <v>0.1429</v>
      </c>
      <c r="F1245">
        <v>0.20269999999999999</v>
      </c>
      <c r="G1245">
        <v>90</v>
      </c>
      <c r="H1245">
        <v>140</v>
      </c>
      <c r="I1245">
        <v>41</v>
      </c>
      <c r="J1245">
        <v>2</v>
      </c>
      <c r="K1245">
        <v>28.629000000000001</v>
      </c>
    </row>
    <row r="1246" spans="1:11">
      <c r="A1246">
        <v>0.5917</v>
      </c>
      <c r="B1246">
        <v>8.5699999999999998E-2</v>
      </c>
      <c r="C1246">
        <v>6.13E-2</v>
      </c>
      <c r="D1246">
        <v>6.3E-3</v>
      </c>
      <c r="E1246">
        <v>6.9699999999999998E-2</v>
      </c>
      <c r="F1246">
        <v>0.18529999999999999</v>
      </c>
      <c r="G1246">
        <v>80</v>
      </c>
      <c r="H1246">
        <v>140</v>
      </c>
      <c r="I1246">
        <v>38</v>
      </c>
      <c r="J1246">
        <v>2</v>
      </c>
      <c r="K1246">
        <v>47.335999999999999</v>
      </c>
    </row>
    <row r="1247" spans="1:11">
      <c r="A1247">
        <v>0.2142</v>
      </c>
      <c r="B1247">
        <v>3.5000000000000003E-2</v>
      </c>
      <c r="C1247">
        <v>0.44540000000000002</v>
      </c>
      <c r="D1247">
        <v>0.13689999999999999</v>
      </c>
      <c r="E1247">
        <v>7.2099999999999997E-2</v>
      </c>
      <c r="F1247">
        <v>9.64E-2</v>
      </c>
      <c r="G1247">
        <v>100</v>
      </c>
      <c r="H1247">
        <v>120</v>
      </c>
      <c r="I1247">
        <v>24</v>
      </c>
      <c r="J1247">
        <v>1</v>
      </c>
      <c r="K1247">
        <v>21.42</v>
      </c>
    </row>
    <row r="1248" spans="1:11">
      <c r="A1248">
        <v>0.51880000000000004</v>
      </c>
      <c r="B1248">
        <v>0.2392</v>
      </c>
      <c r="C1248">
        <v>3.5400000000000001E-2</v>
      </c>
      <c r="D1248">
        <v>0</v>
      </c>
      <c r="E1248">
        <v>7.4999999999999997E-3</v>
      </c>
      <c r="F1248">
        <v>0.19900000000000001</v>
      </c>
      <c r="G1248">
        <v>60</v>
      </c>
      <c r="H1248">
        <v>80</v>
      </c>
      <c r="I1248">
        <v>26</v>
      </c>
      <c r="J1248">
        <v>1</v>
      </c>
      <c r="K1248">
        <v>31.128</v>
      </c>
    </row>
    <row r="1249" spans="1:11">
      <c r="A1249">
        <v>0.2903</v>
      </c>
      <c r="B1249">
        <v>0.1774</v>
      </c>
      <c r="C1249">
        <v>0.11840000000000001</v>
      </c>
      <c r="D1249">
        <v>0.1061</v>
      </c>
      <c r="E1249">
        <v>4.0099999999999997E-2</v>
      </c>
      <c r="F1249">
        <v>0.26769999999999999</v>
      </c>
      <c r="G1249">
        <v>100</v>
      </c>
      <c r="H1249">
        <v>110</v>
      </c>
      <c r="I1249">
        <v>33</v>
      </c>
      <c r="J1249">
        <v>2</v>
      </c>
      <c r="K1249">
        <v>29.03</v>
      </c>
    </row>
    <row r="1250" spans="1:11">
      <c r="A1250">
        <v>0.31059999999999999</v>
      </c>
      <c r="B1250">
        <v>5.2900000000000003E-2</v>
      </c>
      <c r="C1250">
        <v>0.216</v>
      </c>
      <c r="D1250">
        <v>9.5500000000000002E-2</v>
      </c>
      <c r="E1250">
        <v>0.22059999999999999</v>
      </c>
      <c r="F1250">
        <v>0.1045</v>
      </c>
      <c r="G1250">
        <v>190</v>
      </c>
      <c r="H1250">
        <v>280</v>
      </c>
      <c r="I1250">
        <v>36</v>
      </c>
      <c r="J1250">
        <v>2</v>
      </c>
      <c r="K1250">
        <v>59.014000000000003</v>
      </c>
    </row>
    <row r="1251" spans="1:11">
      <c r="A1251">
        <v>0.45100000000000001</v>
      </c>
      <c r="B1251">
        <v>0.1263</v>
      </c>
      <c r="C1251">
        <v>2.8999999999999998E-3</v>
      </c>
      <c r="D1251">
        <v>1.9400000000000001E-2</v>
      </c>
      <c r="E1251">
        <v>0.2666</v>
      </c>
      <c r="F1251">
        <v>0.1338</v>
      </c>
      <c r="G1251">
        <v>60</v>
      </c>
      <c r="H1251">
        <v>70</v>
      </c>
      <c r="I1251">
        <v>38</v>
      </c>
      <c r="J1251">
        <v>2</v>
      </c>
      <c r="K1251">
        <v>27.06</v>
      </c>
    </row>
    <row r="1252" spans="1:11">
      <c r="A1252">
        <v>0.22420000000000001</v>
      </c>
      <c r="B1252">
        <v>3.7999999999999999E-2</v>
      </c>
      <c r="C1252">
        <v>0.14449999999999999</v>
      </c>
      <c r="D1252">
        <v>3.6299999999999999E-2</v>
      </c>
      <c r="E1252">
        <v>0.25319999999999998</v>
      </c>
      <c r="F1252">
        <v>0.30370000000000003</v>
      </c>
      <c r="G1252">
        <v>210</v>
      </c>
      <c r="H1252">
        <v>160</v>
      </c>
      <c r="I1252">
        <v>37</v>
      </c>
      <c r="J1252">
        <v>2</v>
      </c>
      <c r="K1252">
        <v>47.082000000000001</v>
      </c>
    </row>
    <row r="1253" spans="1:11">
      <c r="A1253">
        <v>0.2923</v>
      </c>
      <c r="B1253">
        <v>6.2E-2</v>
      </c>
      <c r="C1253">
        <v>0.1153</v>
      </c>
      <c r="D1253">
        <v>0.1108</v>
      </c>
      <c r="E1253">
        <v>0.22589999999999999</v>
      </c>
      <c r="F1253">
        <v>0.19359999999999999</v>
      </c>
      <c r="G1253">
        <v>150</v>
      </c>
      <c r="H1253">
        <v>150</v>
      </c>
      <c r="I1253">
        <v>36</v>
      </c>
      <c r="J1253">
        <v>1</v>
      </c>
      <c r="K1253">
        <v>43.844999999999999</v>
      </c>
    </row>
    <row r="1254" spans="1:11">
      <c r="A1254">
        <v>0.54190000000000005</v>
      </c>
      <c r="B1254">
        <v>0.1469</v>
      </c>
      <c r="C1254">
        <v>0</v>
      </c>
      <c r="D1254">
        <v>0</v>
      </c>
      <c r="E1254">
        <v>1.8800000000000001E-2</v>
      </c>
      <c r="F1254">
        <v>0.2923</v>
      </c>
      <c r="G1254">
        <v>40</v>
      </c>
      <c r="H1254">
        <v>60</v>
      </c>
      <c r="I1254">
        <v>25</v>
      </c>
      <c r="J1254">
        <v>2</v>
      </c>
      <c r="K1254">
        <v>21.675999999999998</v>
      </c>
    </row>
    <row r="1255" spans="1:11">
      <c r="A1255">
        <v>0.44059999999999999</v>
      </c>
      <c r="B1255">
        <v>6.9699999999999998E-2</v>
      </c>
      <c r="C1255">
        <v>0.1706</v>
      </c>
      <c r="D1255">
        <v>1.7600000000000001E-2</v>
      </c>
      <c r="E1255">
        <v>0.19800000000000001</v>
      </c>
      <c r="F1255">
        <v>0.10349999999999999</v>
      </c>
      <c r="G1255">
        <v>110</v>
      </c>
      <c r="H1255">
        <v>140</v>
      </c>
      <c r="I1255">
        <v>48</v>
      </c>
      <c r="J1255">
        <v>2</v>
      </c>
      <c r="K1255">
        <v>48.466000000000001</v>
      </c>
    </row>
    <row r="1256" spans="1:11">
      <c r="A1256">
        <v>0.25219999999999998</v>
      </c>
      <c r="B1256">
        <v>5.74E-2</v>
      </c>
      <c r="C1256">
        <v>0.105</v>
      </c>
      <c r="D1256">
        <v>0.15670000000000001</v>
      </c>
      <c r="E1256">
        <v>3.6299999999999999E-2</v>
      </c>
      <c r="F1256">
        <v>0.39240000000000003</v>
      </c>
      <c r="G1256">
        <v>90</v>
      </c>
      <c r="H1256">
        <v>90</v>
      </c>
      <c r="I1256">
        <v>24</v>
      </c>
      <c r="J1256">
        <v>1</v>
      </c>
      <c r="K1256">
        <v>22.698</v>
      </c>
    </row>
    <row r="1257" spans="1:11">
      <c r="A1257">
        <v>0.27129999999999999</v>
      </c>
      <c r="B1257">
        <v>4.9200000000000001E-2</v>
      </c>
      <c r="C1257">
        <v>0.34989999999999999</v>
      </c>
      <c r="D1257">
        <v>7.9000000000000008E-3</v>
      </c>
      <c r="E1257">
        <v>7.9799999999999996E-2</v>
      </c>
      <c r="F1257">
        <v>0.24179999999999999</v>
      </c>
      <c r="G1257">
        <v>130</v>
      </c>
      <c r="H1257">
        <v>120</v>
      </c>
      <c r="I1257">
        <v>46</v>
      </c>
      <c r="J1257">
        <v>1</v>
      </c>
      <c r="K1257">
        <v>35.268999999999998</v>
      </c>
    </row>
    <row r="1258" spans="1:11">
      <c r="A1258">
        <v>0.23949999999999999</v>
      </c>
      <c r="B1258">
        <v>6.1199999999999997E-2</v>
      </c>
      <c r="C1258">
        <v>1.12E-2</v>
      </c>
      <c r="D1258">
        <v>6.1199999999999997E-2</v>
      </c>
      <c r="E1258">
        <v>0.3886</v>
      </c>
      <c r="F1258">
        <v>0.2382</v>
      </c>
      <c r="G1258">
        <v>80</v>
      </c>
      <c r="H1258">
        <v>100</v>
      </c>
      <c r="I1258">
        <v>29</v>
      </c>
      <c r="J1258">
        <v>1</v>
      </c>
      <c r="K1258">
        <v>19.16</v>
      </c>
    </row>
    <row r="1259" spans="1:11">
      <c r="A1259">
        <v>0.44259999999999999</v>
      </c>
      <c r="B1259">
        <v>6.7199999999999996E-2</v>
      </c>
      <c r="C1259">
        <v>5.7799999999999997E-2</v>
      </c>
      <c r="D1259">
        <v>0</v>
      </c>
      <c r="E1259">
        <v>5.7500000000000002E-2</v>
      </c>
      <c r="F1259">
        <v>0.37490000000000001</v>
      </c>
      <c r="G1259">
        <v>60</v>
      </c>
      <c r="H1259">
        <v>160</v>
      </c>
      <c r="I1259">
        <v>34</v>
      </c>
      <c r="J1259">
        <v>2</v>
      </c>
      <c r="K1259">
        <v>26.556000000000001</v>
      </c>
    </row>
    <row r="1260" spans="1:11">
      <c r="A1260">
        <v>0.61880000000000002</v>
      </c>
      <c r="B1260">
        <v>7.8399999999999997E-2</v>
      </c>
      <c r="C1260">
        <v>5.1200000000000002E-2</v>
      </c>
      <c r="D1260">
        <v>9.7000000000000003E-3</v>
      </c>
      <c r="E1260">
        <v>3.4200000000000001E-2</v>
      </c>
      <c r="F1260">
        <v>0.20780000000000001</v>
      </c>
      <c r="G1260">
        <v>80</v>
      </c>
      <c r="H1260">
        <v>100</v>
      </c>
      <c r="I1260">
        <v>42</v>
      </c>
      <c r="J1260">
        <v>1</v>
      </c>
      <c r="K1260">
        <v>49.503999999999998</v>
      </c>
    </row>
    <row r="1261" spans="1:11">
      <c r="A1261">
        <v>0.39650000000000002</v>
      </c>
      <c r="B1261">
        <v>5.67E-2</v>
      </c>
      <c r="C1261">
        <v>7.2099999999999997E-2</v>
      </c>
      <c r="D1261">
        <v>2.41E-2</v>
      </c>
      <c r="E1261">
        <v>0.23899999999999999</v>
      </c>
      <c r="F1261">
        <v>0.2117</v>
      </c>
      <c r="G1261">
        <v>100</v>
      </c>
      <c r="H1261">
        <v>160</v>
      </c>
      <c r="I1261">
        <v>28</v>
      </c>
      <c r="J1261">
        <v>2</v>
      </c>
      <c r="K1261">
        <v>39.65</v>
      </c>
    </row>
    <row r="1262" spans="1:11">
      <c r="A1262">
        <v>0.40150000000000002</v>
      </c>
      <c r="B1262">
        <v>8.1199999999999994E-2</v>
      </c>
      <c r="C1262">
        <v>0.3145</v>
      </c>
      <c r="D1262">
        <v>2.6499999999999999E-2</v>
      </c>
      <c r="E1262">
        <v>3.3700000000000001E-2</v>
      </c>
      <c r="F1262">
        <v>0.14249999999999999</v>
      </c>
      <c r="G1262">
        <v>140</v>
      </c>
      <c r="H1262">
        <v>190</v>
      </c>
      <c r="I1262">
        <v>36</v>
      </c>
      <c r="J1262">
        <v>2</v>
      </c>
      <c r="K1262">
        <v>56.21</v>
      </c>
    </row>
    <row r="1263" spans="1:11">
      <c r="A1263">
        <v>0.3085</v>
      </c>
      <c r="B1263">
        <v>6.7100000000000007E-2</v>
      </c>
      <c r="C1263">
        <v>6.1199999999999997E-2</v>
      </c>
      <c r="D1263">
        <v>0.26129999999999998</v>
      </c>
      <c r="E1263">
        <v>2.7E-2</v>
      </c>
      <c r="F1263">
        <v>0.2747</v>
      </c>
      <c r="G1263">
        <v>80</v>
      </c>
      <c r="H1263">
        <v>140</v>
      </c>
      <c r="I1263">
        <v>39</v>
      </c>
      <c r="J1263">
        <v>2</v>
      </c>
      <c r="K1263">
        <v>24.68</v>
      </c>
    </row>
    <row r="1264" spans="1:11">
      <c r="A1264">
        <v>0.374</v>
      </c>
      <c r="B1264">
        <v>5.6099999999999997E-2</v>
      </c>
      <c r="C1264">
        <v>0.221</v>
      </c>
      <c r="D1264">
        <v>1.46E-2</v>
      </c>
      <c r="E1264">
        <v>0.1658</v>
      </c>
      <c r="F1264">
        <v>0.1686</v>
      </c>
      <c r="G1264">
        <v>80</v>
      </c>
      <c r="H1264">
        <v>100</v>
      </c>
      <c r="I1264">
        <v>36</v>
      </c>
      <c r="J1264">
        <v>1</v>
      </c>
      <c r="K1264">
        <v>29.92</v>
      </c>
    </row>
    <row r="1265" spans="1:11">
      <c r="A1265">
        <v>0.25659999999999999</v>
      </c>
      <c r="B1265">
        <v>3.6999999999999998E-2</v>
      </c>
      <c r="C1265">
        <v>0</v>
      </c>
      <c r="D1265">
        <v>1.12E-2</v>
      </c>
      <c r="E1265">
        <v>0.23569999999999999</v>
      </c>
      <c r="F1265">
        <v>0.45939999999999998</v>
      </c>
      <c r="G1265">
        <v>70</v>
      </c>
      <c r="H1265">
        <v>100</v>
      </c>
      <c r="I1265">
        <v>30</v>
      </c>
      <c r="J1265">
        <v>2</v>
      </c>
      <c r="K1265">
        <v>17.962</v>
      </c>
    </row>
    <row r="1266" spans="1:11">
      <c r="A1266">
        <v>0.38519999999999999</v>
      </c>
      <c r="B1266">
        <v>0.1237</v>
      </c>
      <c r="C1266">
        <v>3.5799999999999998E-2</v>
      </c>
      <c r="D1266">
        <v>0.1331</v>
      </c>
      <c r="E1266">
        <v>0.14000000000000001</v>
      </c>
      <c r="F1266">
        <v>0.182</v>
      </c>
      <c r="G1266">
        <v>70</v>
      </c>
      <c r="H1266">
        <v>110</v>
      </c>
      <c r="I1266">
        <v>27</v>
      </c>
      <c r="J1266">
        <v>1</v>
      </c>
      <c r="K1266">
        <v>26.963999999999999</v>
      </c>
    </row>
    <row r="1267" spans="1:11">
      <c r="A1267">
        <v>0.245</v>
      </c>
      <c r="B1267">
        <v>3.3000000000000002E-2</v>
      </c>
      <c r="C1267">
        <v>0.23050000000000001</v>
      </c>
      <c r="D1267">
        <v>2.4199999999999999E-2</v>
      </c>
      <c r="E1267">
        <v>0.20730000000000001</v>
      </c>
      <c r="F1267">
        <v>0.26</v>
      </c>
      <c r="G1267">
        <v>100</v>
      </c>
      <c r="H1267">
        <v>120</v>
      </c>
      <c r="I1267">
        <v>24</v>
      </c>
      <c r="J1267">
        <v>1</v>
      </c>
      <c r="K1267">
        <v>24.5</v>
      </c>
    </row>
    <row r="1268" spans="1:11">
      <c r="A1268">
        <v>0.36880000000000002</v>
      </c>
      <c r="B1268">
        <v>8.0399999999999999E-2</v>
      </c>
      <c r="C1268">
        <v>0.15920000000000001</v>
      </c>
      <c r="D1268">
        <v>3.8399999999999997E-2</v>
      </c>
      <c r="E1268">
        <v>0.11559999999999999</v>
      </c>
      <c r="F1268">
        <v>0.23760000000000001</v>
      </c>
      <c r="G1268">
        <v>80</v>
      </c>
      <c r="H1268">
        <v>120</v>
      </c>
      <c r="I1268">
        <v>45</v>
      </c>
      <c r="J1268">
        <v>1</v>
      </c>
      <c r="K1268">
        <v>29.504000000000001</v>
      </c>
    </row>
    <row r="1269" spans="1:11">
      <c r="A1269">
        <v>0.3594</v>
      </c>
      <c r="B1269">
        <v>4.3200000000000002E-2</v>
      </c>
      <c r="C1269">
        <v>7.8600000000000003E-2</v>
      </c>
      <c r="D1269">
        <v>5.1900000000000002E-2</v>
      </c>
      <c r="E1269">
        <v>7.5600000000000001E-2</v>
      </c>
      <c r="F1269">
        <v>0.39119999999999999</v>
      </c>
      <c r="G1269">
        <v>130</v>
      </c>
      <c r="H1269">
        <v>120</v>
      </c>
      <c r="I1269">
        <v>38</v>
      </c>
      <c r="J1269">
        <v>2</v>
      </c>
      <c r="K1269">
        <v>46.722000000000001</v>
      </c>
    </row>
    <row r="1270" spans="1:11">
      <c r="A1270">
        <v>0.4491</v>
      </c>
      <c r="B1270">
        <v>5.1900000000000002E-2</v>
      </c>
      <c r="C1270">
        <v>7.5499999999999998E-2</v>
      </c>
      <c r="D1270">
        <v>0.15620000000000001</v>
      </c>
      <c r="E1270">
        <v>3.8999999999999998E-3</v>
      </c>
      <c r="F1270">
        <v>0.26350000000000001</v>
      </c>
      <c r="G1270">
        <v>130</v>
      </c>
      <c r="H1270">
        <v>100</v>
      </c>
      <c r="I1270">
        <v>36</v>
      </c>
      <c r="J1270">
        <v>2</v>
      </c>
      <c r="K1270">
        <v>58.383000000000003</v>
      </c>
    </row>
    <row r="1271" spans="1:11">
      <c r="A1271">
        <v>0.23669999999999999</v>
      </c>
      <c r="B1271">
        <v>3.8199999999999998E-2</v>
      </c>
      <c r="C1271">
        <v>0.11840000000000001</v>
      </c>
      <c r="D1271">
        <v>1.5599999999999999E-2</v>
      </c>
      <c r="E1271">
        <v>9.9199999999999997E-2</v>
      </c>
      <c r="F1271">
        <v>0.49199999999999999</v>
      </c>
      <c r="G1271">
        <v>120</v>
      </c>
      <c r="H1271">
        <v>110</v>
      </c>
      <c r="I1271">
        <v>37</v>
      </c>
      <c r="J1271">
        <v>1</v>
      </c>
      <c r="K1271">
        <v>28.404</v>
      </c>
    </row>
    <row r="1272" spans="1:11">
      <c r="A1272">
        <v>0.28470000000000001</v>
      </c>
      <c r="B1272">
        <v>2.7300000000000001E-2</v>
      </c>
      <c r="C1272">
        <v>0.27539999999999998</v>
      </c>
      <c r="D1272">
        <v>1.4E-2</v>
      </c>
      <c r="E1272">
        <v>0.1069</v>
      </c>
      <c r="F1272">
        <v>0.29160000000000003</v>
      </c>
      <c r="G1272">
        <v>170</v>
      </c>
      <c r="H1272">
        <v>110</v>
      </c>
      <c r="I1272">
        <v>51</v>
      </c>
      <c r="J1272">
        <v>1</v>
      </c>
      <c r="K1272">
        <v>48.399000000000001</v>
      </c>
    </row>
    <row r="1273" spans="1:11">
      <c r="A1273">
        <v>0.27010000000000001</v>
      </c>
      <c r="B1273">
        <v>0.1812</v>
      </c>
      <c r="C1273">
        <v>7.4800000000000005E-2</v>
      </c>
      <c r="D1273">
        <v>0.15840000000000001</v>
      </c>
      <c r="E1273">
        <v>0.10150000000000001</v>
      </c>
      <c r="F1273">
        <v>0.214</v>
      </c>
      <c r="G1273">
        <v>90</v>
      </c>
      <c r="H1273">
        <v>100</v>
      </c>
      <c r="I1273">
        <v>39</v>
      </c>
      <c r="J1273">
        <v>2</v>
      </c>
      <c r="K1273">
        <v>24.309000000000001</v>
      </c>
    </row>
    <row r="1274" spans="1:11">
      <c r="A1274">
        <v>0.44309999999999999</v>
      </c>
      <c r="B1274">
        <v>6.7500000000000004E-2</v>
      </c>
      <c r="C1274">
        <v>0.1196</v>
      </c>
      <c r="D1274">
        <v>0.17710000000000001</v>
      </c>
      <c r="E1274">
        <v>3.2800000000000003E-2</v>
      </c>
      <c r="F1274">
        <v>0.15989999999999999</v>
      </c>
      <c r="G1274">
        <v>140</v>
      </c>
      <c r="H1274">
        <v>210</v>
      </c>
      <c r="I1274">
        <v>32</v>
      </c>
      <c r="J1274">
        <v>1</v>
      </c>
      <c r="K1274">
        <v>62.033999999999999</v>
      </c>
    </row>
    <row r="1275" spans="1:11">
      <c r="A1275">
        <v>0.34899999999999998</v>
      </c>
      <c r="B1275">
        <v>0.2142</v>
      </c>
      <c r="C1275">
        <v>0.08</v>
      </c>
      <c r="D1275">
        <v>9.2399999999999996E-2</v>
      </c>
      <c r="E1275">
        <v>3.8999999999999998E-3</v>
      </c>
      <c r="F1275">
        <v>0.26050000000000001</v>
      </c>
      <c r="G1275">
        <v>130</v>
      </c>
      <c r="H1275">
        <v>70</v>
      </c>
      <c r="I1275">
        <v>25</v>
      </c>
      <c r="J1275">
        <v>1</v>
      </c>
      <c r="K1275">
        <v>45.37</v>
      </c>
    </row>
    <row r="1276" spans="1:11">
      <c r="A1276">
        <v>0.29709999999999998</v>
      </c>
      <c r="B1276">
        <v>8.0500000000000002E-2</v>
      </c>
      <c r="C1276">
        <v>0.1648</v>
      </c>
      <c r="D1276">
        <v>3.4099999999999998E-2</v>
      </c>
      <c r="E1276">
        <v>0.1095</v>
      </c>
      <c r="F1276">
        <v>0.314</v>
      </c>
      <c r="G1276">
        <v>170</v>
      </c>
      <c r="H1276">
        <v>150</v>
      </c>
      <c r="I1276">
        <v>41</v>
      </c>
      <c r="J1276">
        <v>2</v>
      </c>
      <c r="K1276">
        <v>50.506999999999998</v>
      </c>
    </row>
    <row r="1277" spans="1:11">
      <c r="A1277">
        <v>0.37040000000000001</v>
      </c>
      <c r="B1277">
        <v>0.12590000000000001</v>
      </c>
      <c r="C1277">
        <v>0.02</v>
      </c>
      <c r="D1277">
        <v>5.8299999999999998E-2</v>
      </c>
      <c r="E1277">
        <v>0.1212</v>
      </c>
      <c r="F1277">
        <v>0.30420000000000003</v>
      </c>
      <c r="G1277">
        <v>60</v>
      </c>
      <c r="H1277">
        <v>90</v>
      </c>
      <c r="I1277">
        <v>27</v>
      </c>
      <c r="J1277">
        <v>1</v>
      </c>
      <c r="K1277">
        <v>22.224</v>
      </c>
    </row>
    <row r="1278" spans="1:11">
      <c r="A1278">
        <v>0.3377</v>
      </c>
      <c r="B1278">
        <v>6.3899999999999998E-2</v>
      </c>
      <c r="C1278">
        <v>0</v>
      </c>
      <c r="D1278">
        <v>3.3000000000000002E-2</v>
      </c>
      <c r="E1278">
        <v>0.14460000000000001</v>
      </c>
      <c r="F1278">
        <v>0.42080000000000001</v>
      </c>
      <c r="G1278">
        <v>60</v>
      </c>
      <c r="H1278">
        <v>130</v>
      </c>
      <c r="I1278">
        <v>33</v>
      </c>
      <c r="J1278">
        <v>2</v>
      </c>
      <c r="K1278">
        <v>20.262</v>
      </c>
    </row>
    <row r="1279" spans="1:11">
      <c r="A1279">
        <v>0.35399999999999998</v>
      </c>
      <c r="B1279">
        <v>4.2900000000000001E-2</v>
      </c>
      <c r="C1279">
        <v>7.6600000000000001E-2</v>
      </c>
      <c r="D1279">
        <v>0.2334</v>
      </c>
      <c r="E1279">
        <v>8.4699999999999998E-2</v>
      </c>
      <c r="F1279">
        <v>0.2084</v>
      </c>
      <c r="G1279">
        <v>170</v>
      </c>
      <c r="H1279">
        <v>210</v>
      </c>
      <c r="I1279">
        <v>36</v>
      </c>
      <c r="J1279">
        <v>2</v>
      </c>
      <c r="K1279">
        <v>60.18</v>
      </c>
    </row>
    <row r="1280" spans="1:11">
      <c r="A1280">
        <v>0.27139999999999997</v>
      </c>
      <c r="B1280">
        <v>8.0799999999999997E-2</v>
      </c>
      <c r="C1280">
        <v>3.6299999999999999E-2</v>
      </c>
      <c r="D1280">
        <v>2.7799999999999998E-2</v>
      </c>
      <c r="E1280">
        <v>0.18809999999999999</v>
      </c>
      <c r="F1280">
        <v>0.39560000000000001</v>
      </c>
      <c r="G1280">
        <v>120</v>
      </c>
      <c r="H1280">
        <v>130</v>
      </c>
      <c r="I1280">
        <v>49</v>
      </c>
      <c r="J1280">
        <v>2</v>
      </c>
      <c r="K1280">
        <v>32.567999999999998</v>
      </c>
    </row>
    <row r="1281" spans="1:11">
      <c r="A1281">
        <v>0.29060000000000002</v>
      </c>
      <c r="B1281">
        <v>0.1167</v>
      </c>
      <c r="C1281">
        <v>0.25080000000000002</v>
      </c>
      <c r="D1281">
        <v>5.91E-2</v>
      </c>
      <c r="E1281">
        <v>5.4199999999999998E-2</v>
      </c>
      <c r="F1281">
        <v>0.22850000000000001</v>
      </c>
      <c r="G1281">
        <v>70</v>
      </c>
      <c r="H1281">
        <v>140</v>
      </c>
      <c r="I1281">
        <v>38</v>
      </c>
      <c r="J1281">
        <v>2</v>
      </c>
      <c r="K1281">
        <v>20.341999999999999</v>
      </c>
    </row>
    <row r="1282" spans="1:11">
      <c r="A1282">
        <v>0.3352</v>
      </c>
      <c r="B1282">
        <v>6.6799999999999998E-2</v>
      </c>
      <c r="C1282">
        <v>0.33489999999999998</v>
      </c>
      <c r="D1282">
        <v>0</v>
      </c>
      <c r="E1282">
        <v>8.5800000000000001E-2</v>
      </c>
      <c r="F1282">
        <v>0.1774</v>
      </c>
      <c r="G1282">
        <v>70</v>
      </c>
      <c r="H1282">
        <v>80</v>
      </c>
      <c r="I1282">
        <v>28</v>
      </c>
      <c r="J1282">
        <v>1</v>
      </c>
      <c r="K1282">
        <v>23.463999999999999</v>
      </c>
    </row>
    <row r="1283" spans="1:11">
      <c r="A1283">
        <v>0.38369999999999999</v>
      </c>
      <c r="B1283">
        <v>4.24E-2</v>
      </c>
      <c r="C1283">
        <v>0.15390000000000001</v>
      </c>
      <c r="D1283">
        <v>1.49E-2</v>
      </c>
      <c r="E1283">
        <v>2.0999999999999999E-3</v>
      </c>
      <c r="F1283">
        <v>0.40300000000000002</v>
      </c>
      <c r="G1283">
        <v>70</v>
      </c>
      <c r="H1283">
        <v>140</v>
      </c>
      <c r="I1283">
        <v>46</v>
      </c>
      <c r="J1283">
        <v>2</v>
      </c>
      <c r="K1283">
        <v>26.859000000000002</v>
      </c>
    </row>
    <row r="1284" spans="1:11">
      <c r="A1284">
        <v>0.2802</v>
      </c>
      <c r="B1284">
        <v>0.1086</v>
      </c>
      <c r="C1284">
        <v>8.7900000000000006E-2</v>
      </c>
      <c r="D1284">
        <v>3.1600000000000003E-2</v>
      </c>
      <c r="E1284">
        <v>0.15129999999999999</v>
      </c>
      <c r="F1284">
        <v>0.34050000000000002</v>
      </c>
      <c r="G1284">
        <v>50</v>
      </c>
      <c r="H1284">
        <v>130</v>
      </c>
      <c r="I1284">
        <v>35</v>
      </c>
      <c r="J1284">
        <v>2</v>
      </c>
      <c r="K1284">
        <v>14.01</v>
      </c>
    </row>
    <row r="1285" spans="1:11">
      <c r="A1285">
        <v>0.2382</v>
      </c>
      <c r="B1285">
        <v>5.7299999999999997E-2</v>
      </c>
      <c r="C1285">
        <v>0.33410000000000001</v>
      </c>
      <c r="D1285">
        <v>6.3200000000000006E-2</v>
      </c>
      <c r="E1285">
        <v>4.3299999999999998E-2</v>
      </c>
      <c r="F1285">
        <v>0.26390000000000002</v>
      </c>
      <c r="G1285">
        <v>110</v>
      </c>
      <c r="H1285">
        <v>150</v>
      </c>
      <c r="I1285">
        <v>33</v>
      </c>
      <c r="J1285">
        <v>2</v>
      </c>
      <c r="K1285">
        <v>26.202000000000002</v>
      </c>
    </row>
    <row r="1286" spans="1:11">
      <c r="A1286">
        <v>0.55020000000000002</v>
      </c>
      <c r="B1286">
        <v>0.1273</v>
      </c>
      <c r="C1286">
        <v>6.1999999999999998E-3</v>
      </c>
      <c r="D1286">
        <v>5.79E-2</v>
      </c>
      <c r="E1286">
        <v>0</v>
      </c>
      <c r="F1286">
        <v>0.25840000000000002</v>
      </c>
      <c r="G1286">
        <v>80</v>
      </c>
      <c r="H1286">
        <v>140</v>
      </c>
      <c r="I1286">
        <v>38</v>
      </c>
      <c r="J1286">
        <v>2</v>
      </c>
      <c r="K1286">
        <v>44.015999999999998</v>
      </c>
    </row>
    <row r="1287" spans="1:11">
      <c r="A1287">
        <v>0.48</v>
      </c>
      <c r="B1287">
        <v>4.65E-2</v>
      </c>
      <c r="C1287">
        <v>2.41E-2</v>
      </c>
      <c r="D1287">
        <v>7.1900000000000006E-2</v>
      </c>
      <c r="E1287">
        <v>0.29339999999999999</v>
      </c>
      <c r="F1287">
        <v>8.4099999999999994E-2</v>
      </c>
      <c r="G1287">
        <v>70</v>
      </c>
      <c r="H1287">
        <v>120</v>
      </c>
      <c r="I1287">
        <v>31</v>
      </c>
      <c r="J1287">
        <v>2</v>
      </c>
      <c r="K1287">
        <v>33.6</v>
      </c>
    </row>
    <row r="1288" spans="1:11">
      <c r="A1288">
        <v>0.26140000000000002</v>
      </c>
      <c r="B1288">
        <v>2.5899999999999999E-2</v>
      </c>
      <c r="C1288">
        <v>0.105</v>
      </c>
      <c r="D1288">
        <v>0</v>
      </c>
      <c r="E1288">
        <v>0.12089999999999999</v>
      </c>
      <c r="F1288">
        <v>0.48680000000000001</v>
      </c>
      <c r="G1288">
        <v>250</v>
      </c>
      <c r="H1288">
        <v>140</v>
      </c>
      <c r="I1288">
        <v>35</v>
      </c>
      <c r="J1288">
        <v>2</v>
      </c>
      <c r="K1288">
        <v>65.349999999999994</v>
      </c>
    </row>
    <row r="1289" spans="1:11">
      <c r="A1289">
        <v>0.3886</v>
      </c>
      <c r="B1289">
        <v>0.09</v>
      </c>
      <c r="C1289">
        <v>5.7700000000000001E-2</v>
      </c>
      <c r="D1289">
        <v>0</v>
      </c>
      <c r="E1289">
        <v>0.1696</v>
      </c>
      <c r="F1289">
        <v>0.29399999999999998</v>
      </c>
      <c r="G1289">
        <v>70</v>
      </c>
      <c r="H1289">
        <v>160</v>
      </c>
      <c r="I1289">
        <v>45</v>
      </c>
      <c r="J1289">
        <v>1</v>
      </c>
      <c r="K1289">
        <v>27.202000000000002</v>
      </c>
    </row>
    <row r="1290" spans="1:11">
      <c r="A1290">
        <v>0.46389999999999998</v>
      </c>
      <c r="B1290">
        <v>8.2400000000000001E-2</v>
      </c>
      <c r="C1290">
        <v>8.0699999999999994E-2</v>
      </c>
      <c r="D1290">
        <v>6.8000000000000005E-2</v>
      </c>
      <c r="E1290">
        <v>0.18090000000000001</v>
      </c>
      <c r="F1290">
        <v>0.124</v>
      </c>
      <c r="G1290">
        <v>80</v>
      </c>
      <c r="H1290">
        <v>150</v>
      </c>
      <c r="I1290">
        <v>27</v>
      </c>
      <c r="J1290">
        <v>2</v>
      </c>
      <c r="K1290">
        <v>37.112000000000002</v>
      </c>
    </row>
    <row r="1291" spans="1:11">
      <c r="A1291">
        <v>0.4264</v>
      </c>
      <c r="B1291">
        <v>5.6399999999999999E-2</v>
      </c>
      <c r="C1291">
        <v>0</v>
      </c>
      <c r="D1291">
        <v>0</v>
      </c>
      <c r="E1291">
        <v>0.40870000000000001</v>
      </c>
      <c r="F1291">
        <v>0.1085</v>
      </c>
      <c r="G1291">
        <v>110</v>
      </c>
      <c r="H1291">
        <v>180</v>
      </c>
      <c r="I1291">
        <v>23</v>
      </c>
      <c r="J1291">
        <v>1</v>
      </c>
      <c r="K1291">
        <v>46.904000000000003</v>
      </c>
    </row>
    <row r="1292" spans="1:11">
      <c r="A1292">
        <v>0.3634</v>
      </c>
      <c r="B1292">
        <v>7.2300000000000003E-2</v>
      </c>
      <c r="C1292">
        <v>0.26200000000000001</v>
      </c>
      <c r="D1292">
        <v>0</v>
      </c>
      <c r="E1292">
        <v>0.19750000000000001</v>
      </c>
      <c r="F1292">
        <v>0.1048</v>
      </c>
      <c r="G1292">
        <v>40</v>
      </c>
      <c r="H1292">
        <v>110</v>
      </c>
      <c r="I1292">
        <v>37</v>
      </c>
      <c r="J1292">
        <v>1</v>
      </c>
      <c r="K1292">
        <v>14.536</v>
      </c>
    </row>
    <row r="1293" spans="1:11">
      <c r="A1293">
        <v>0.37559999999999999</v>
      </c>
      <c r="B1293">
        <v>5.1700000000000003E-2</v>
      </c>
      <c r="C1293">
        <v>0.1258</v>
      </c>
      <c r="D1293">
        <v>5.0299999999999997E-2</v>
      </c>
      <c r="E1293">
        <v>6.6000000000000003E-2</v>
      </c>
      <c r="F1293">
        <v>0.3306</v>
      </c>
      <c r="G1293">
        <v>100</v>
      </c>
      <c r="H1293">
        <v>100</v>
      </c>
      <c r="I1293">
        <v>30</v>
      </c>
      <c r="J1293">
        <v>2</v>
      </c>
      <c r="K1293">
        <v>37.56</v>
      </c>
    </row>
    <row r="1294" spans="1:11">
      <c r="A1294">
        <v>0.2419</v>
      </c>
      <c r="B1294">
        <v>7.6700000000000004E-2</v>
      </c>
      <c r="C1294">
        <v>9.1600000000000001E-2</v>
      </c>
      <c r="D1294">
        <v>0</v>
      </c>
      <c r="E1294">
        <v>3.8399999999999997E-2</v>
      </c>
      <c r="F1294">
        <v>0.5514</v>
      </c>
      <c r="G1294">
        <v>100</v>
      </c>
      <c r="H1294">
        <v>70</v>
      </c>
      <c r="I1294">
        <v>36</v>
      </c>
      <c r="J1294">
        <v>2</v>
      </c>
      <c r="K1294">
        <v>24.19</v>
      </c>
    </row>
    <row r="1295" spans="1:11">
      <c r="A1295">
        <v>0.55349999999999999</v>
      </c>
      <c r="B1295">
        <v>0.1023</v>
      </c>
      <c r="C1295">
        <v>6.25E-2</v>
      </c>
      <c r="D1295">
        <v>0.15260000000000001</v>
      </c>
      <c r="E1295">
        <v>2.3E-3</v>
      </c>
      <c r="F1295">
        <v>0.1268</v>
      </c>
      <c r="G1295">
        <v>60</v>
      </c>
      <c r="H1295">
        <v>110</v>
      </c>
      <c r="I1295">
        <v>43</v>
      </c>
      <c r="J1295">
        <v>2</v>
      </c>
      <c r="K1295">
        <v>33.21</v>
      </c>
    </row>
    <row r="1296" spans="1:11">
      <c r="A1296">
        <v>0.4259</v>
      </c>
      <c r="B1296">
        <v>3.2599999999999997E-2</v>
      </c>
      <c r="C1296">
        <v>9.8699999999999996E-2</v>
      </c>
      <c r="D1296">
        <v>5.4399999999999997E-2</v>
      </c>
      <c r="E1296">
        <v>3.49E-2</v>
      </c>
      <c r="F1296">
        <v>0.35349999999999998</v>
      </c>
      <c r="G1296">
        <v>170</v>
      </c>
      <c r="H1296">
        <v>200</v>
      </c>
      <c r="I1296">
        <v>40</v>
      </c>
      <c r="J1296">
        <v>2</v>
      </c>
      <c r="K1296">
        <v>72.403000000000006</v>
      </c>
    </row>
    <row r="1297" spans="1:11">
      <c r="A1297">
        <v>0.34350000000000003</v>
      </c>
      <c r="B1297">
        <v>2.3800000000000002E-2</v>
      </c>
      <c r="C1297">
        <v>0.20519999999999999</v>
      </c>
      <c r="D1297">
        <v>0.17799999999999999</v>
      </c>
      <c r="E1297">
        <v>1.32E-2</v>
      </c>
      <c r="F1297">
        <v>0.23630000000000001</v>
      </c>
      <c r="G1297">
        <v>170</v>
      </c>
      <c r="H1297">
        <v>110</v>
      </c>
      <c r="I1297">
        <v>35</v>
      </c>
      <c r="J1297">
        <v>2</v>
      </c>
      <c r="K1297">
        <v>58.395000000000003</v>
      </c>
    </row>
    <row r="1298" spans="1:11">
      <c r="A1298">
        <v>0.26340000000000002</v>
      </c>
      <c r="B1298">
        <v>4.9700000000000001E-2</v>
      </c>
      <c r="C1298">
        <v>5.5500000000000001E-2</v>
      </c>
      <c r="D1298">
        <v>0</v>
      </c>
      <c r="E1298">
        <v>0.38100000000000001</v>
      </c>
      <c r="F1298">
        <v>0.25040000000000001</v>
      </c>
      <c r="G1298">
        <v>80</v>
      </c>
      <c r="H1298">
        <v>130</v>
      </c>
      <c r="I1298">
        <v>50</v>
      </c>
      <c r="J1298">
        <v>1</v>
      </c>
      <c r="K1298">
        <v>21.071999999999999</v>
      </c>
    </row>
    <row r="1299" spans="1:11">
      <c r="A1299">
        <v>0.18179999999999999</v>
      </c>
      <c r="B1299">
        <v>2.4899999999999999E-2</v>
      </c>
      <c r="C1299">
        <v>0</v>
      </c>
      <c r="D1299">
        <v>0</v>
      </c>
      <c r="E1299">
        <v>0.21210000000000001</v>
      </c>
      <c r="F1299">
        <v>0.58120000000000005</v>
      </c>
      <c r="G1299">
        <v>110</v>
      </c>
      <c r="H1299">
        <v>210</v>
      </c>
      <c r="I1299">
        <v>48</v>
      </c>
      <c r="J1299">
        <v>2</v>
      </c>
      <c r="K1299">
        <v>19.998000000000001</v>
      </c>
    </row>
    <row r="1300" spans="1:11">
      <c r="A1300">
        <v>0.41189999999999999</v>
      </c>
      <c r="B1300">
        <v>5.28E-2</v>
      </c>
      <c r="C1300">
        <v>5.1000000000000004E-3</v>
      </c>
      <c r="D1300">
        <v>1.3599999999999999E-2</v>
      </c>
      <c r="E1300">
        <v>7.6600000000000001E-2</v>
      </c>
      <c r="F1300">
        <v>0.44009999999999999</v>
      </c>
      <c r="G1300">
        <v>110</v>
      </c>
      <c r="H1300">
        <v>150</v>
      </c>
      <c r="I1300">
        <v>51</v>
      </c>
      <c r="J1300">
        <v>1</v>
      </c>
      <c r="K1300">
        <v>45.308999999999997</v>
      </c>
    </row>
    <row r="1301" spans="1:11">
      <c r="A1301">
        <v>0.45450000000000002</v>
      </c>
      <c r="B1301">
        <v>0.14680000000000001</v>
      </c>
      <c r="C1301">
        <v>0.1943</v>
      </c>
      <c r="D1301">
        <v>3.1399999999999997E-2</v>
      </c>
      <c r="E1301">
        <v>0</v>
      </c>
      <c r="F1301">
        <v>0.1731</v>
      </c>
      <c r="G1301">
        <v>70</v>
      </c>
      <c r="H1301">
        <v>180</v>
      </c>
      <c r="I1301">
        <v>27</v>
      </c>
      <c r="J1301">
        <v>1</v>
      </c>
      <c r="K1301">
        <v>31.815000000000001</v>
      </c>
    </row>
    <row r="1302" spans="1:11">
      <c r="A1302">
        <v>0.22919999999999999</v>
      </c>
      <c r="B1302">
        <v>6.0499999999999998E-2</v>
      </c>
      <c r="C1302">
        <v>0.11360000000000001</v>
      </c>
      <c r="D1302">
        <v>6.0600000000000001E-2</v>
      </c>
      <c r="E1302">
        <v>0.1188</v>
      </c>
      <c r="F1302">
        <v>0.4173</v>
      </c>
      <c r="G1302">
        <v>270</v>
      </c>
      <c r="H1302">
        <v>270</v>
      </c>
      <c r="I1302">
        <v>49</v>
      </c>
      <c r="J1302">
        <v>1</v>
      </c>
      <c r="K1302">
        <v>61.884</v>
      </c>
    </row>
    <row r="1303" spans="1:11">
      <c r="A1303">
        <v>0.29139999999999999</v>
      </c>
      <c r="B1303">
        <v>4.9000000000000002E-2</v>
      </c>
      <c r="C1303">
        <v>0.1246</v>
      </c>
      <c r="D1303">
        <v>4.5499999999999999E-2</v>
      </c>
      <c r="E1303">
        <v>0.12230000000000001</v>
      </c>
      <c r="F1303">
        <v>0.36720000000000003</v>
      </c>
      <c r="G1303">
        <v>240</v>
      </c>
      <c r="H1303">
        <v>190</v>
      </c>
      <c r="I1303">
        <v>33</v>
      </c>
      <c r="J1303">
        <v>2</v>
      </c>
      <c r="K1303">
        <v>69.936000000000007</v>
      </c>
    </row>
    <row r="1304" spans="1:11">
      <c r="A1304">
        <v>0.25190000000000001</v>
      </c>
      <c r="B1304">
        <v>9.2600000000000002E-2</v>
      </c>
      <c r="C1304">
        <v>7.1900000000000006E-2</v>
      </c>
      <c r="D1304">
        <v>1.66E-2</v>
      </c>
      <c r="E1304">
        <v>0.23100000000000001</v>
      </c>
      <c r="F1304">
        <v>0.33589999999999998</v>
      </c>
      <c r="G1304">
        <v>70</v>
      </c>
      <c r="H1304">
        <v>210</v>
      </c>
      <c r="I1304">
        <v>35</v>
      </c>
      <c r="J1304">
        <v>1</v>
      </c>
      <c r="K1304">
        <v>17.632999999999999</v>
      </c>
    </row>
    <row r="1305" spans="1:11">
      <c r="A1305">
        <v>0.39610000000000001</v>
      </c>
      <c r="B1305">
        <v>6.7100000000000007E-2</v>
      </c>
      <c r="C1305">
        <v>0.14949999999999999</v>
      </c>
      <c r="D1305">
        <v>2.3199999999999998E-2</v>
      </c>
      <c r="E1305">
        <v>0.13420000000000001</v>
      </c>
      <c r="F1305">
        <v>0.2298</v>
      </c>
      <c r="G1305">
        <v>110</v>
      </c>
      <c r="H1305">
        <v>140</v>
      </c>
      <c r="I1305">
        <v>42</v>
      </c>
      <c r="J1305">
        <v>2</v>
      </c>
      <c r="K1305">
        <v>43.570999999999998</v>
      </c>
    </row>
    <row r="1306" spans="1:11">
      <c r="A1306">
        <v>0.2006</v>
      </c>
      <c r="B1306">
        <v>0.05</v>
      </c>
      <c r="C1306">
        <v>0.37180000000000002</v>
      </c>
      <c r="D1306">
        <v>0</v>
      </c>
      <c r="E1306">
        <v>6.8599999999999994E-2</v>
      </c>
      <c r="F1306">
        <v>0.30909999999999999</v>
      </c>
      <c r="G1306">
        <v>60</v>
      </c>
      <c r="H1306">
        <v>110</v>
      </c>
      <c r="I1306">
        <v>37</v>
      </c>
      <c r="J1306">
        <v>2</v>
      </c>
      <c r="K1306">
        <v>12.036</v>
      </c>
    </row>
    <row r="1307" spans="1:11">
      <c r="A1307">
        <v>0.44440000000000002</v>
      </c>
      <c r="B1307">
        <v>5.2499999999999998E-2</v>
      </c>
      <c r="C1307">
        <v>0.19120000000000001</v>
      </c>
      <c r="D1307">
        <v>2.9100000000000001E-2</v>
      </c>
      <c r="E1307">
        <v>0.1295</v>
      </c>
      <c r="F1307">
        <v>0.15340000000000001</v>
      </c>
      <c r="G1307">
        <v>70</v>
      </c>
      <c r="H1307">
        <v>100</v>
      </c>
      <c r="I1307">
        <v>29</v>
      </c>
      <c r="J1307">
        <v>2</v>
      </c>
      <c r="K1307">
        <v>31.108000000000001</v>
      </c>
    </row>
    <row r="1308" spans="1:11">
      <c r="A1308">
        <v>0.2712</v>
      </c>
      <c r="B1308">
        <v>0.26469999999999999</v>
      </c>
      <c r="C1308">
        <v>0</v>
      </c>
      <c r="D1308">
        <v>0</v>
      </c>
      <c r="E1308">
        <v>3.5999999999999999E-3</v>
      </c>
      <c r="F1308">
        <v>0.46050000000000002</v>
      </c>
      <c r="G1308">
        <v>80</v>
      </c>
      <c r="H1308">
        <v>110</v>
      </c>
      <c r="I1308">
        <v>42</v>
      </c>
      <c r="J1308">
        <v>2</v>
      </c>
      <c r="K1308">
        <v>21.696000000000002</v>
      </c>
    </row>
    <row r="1309" spans="1:11">
      <c r="A1309">
        <v>0.33879999999999999</v>
      </c>
      <c r="B1309">
        <v>2.6499999999999999E-2</v>
      </c>
      <c r="C1309">
        <v>0.1827</v>
      </c>
      <c r="D1309">
        <v>0.1263</v>
      </c>
      <c r="E1309">
        <v>0.10920000000000001</v>
      </c>
      <c r="F1309">
        <v>0.2165</v>
      </c>
      <c r="G1309">
        <v>190</v>
      </c>
      <c r="H1309">
        <v>150</v>
      </c>
      <c r="I1309">
        <v>39</v>
      </c>
      <c r="J1309">
        <v>2</v>
      </c>
      <c r="K1309">
        <v>64.372</v>
      </c>
    </row>
    <row r="1310" spans="1:11">
      <c r="A1310">
        <v>0.17929999999999999</v>
      </c>
      <c r="B1310">
        <v>1.95E-2</v>
      </c>
      <c r="C1310">
        <v>0.19889999999999999</v>
      </c>
      <c r="D1310">
        <v>2.9399999999999999E-2</v>
      </c>
      <c r="E1310">
        <v>8.2600000000000007E-2</v>
      </c>
      <c r="F1310">
        <v>0.49030000000000001</v>
      </c>
      <c r="G1310">
        <v>160</v>
      </c>
      <c r="H1310">
        <v>140</v>
      </c>
      <c r="I1310">
        <v>43</v>
      </c>
      <c r="J1310">
        <v>2</v>
      </c>
      <c r="K1310">
        <v>28.687999999999999</v>
      </c>
    </row>
    <row r="1311" spans="1:11">
      <c r="A1311">
        <v>0.2979</v>
      </c>
      <c r="B1311">
        <v>7.9200000000000007E-2</v>
      </c>
      <c r="C1311">
        <v>0.3034</v>
      </c>
      <c r="D1311">
        <v>0</v>
      </c>
      <c r="E1311">
        <v>0.16489999999999999</v>
      </c>
      <c r="F1311">
        <v>0.15459999999999999</v>
      </c>
      <c r="G1311">
        <v>90</v>
      </c>
      <c r="H1311">
        <v>100</v>
      </c>
      <c r="I1311">
        <v>27</v>
      </c>
      <c r="J1311">
        <v>1</v>
      </c>
      <c r="K1311">
        <v>26.811</v>
      </c>
    </row>
    <row r="1312" spans="1:11">
      <c r="A1312">
        <v>0.25209999999999999</v>
      </c>
      <c r="B1312">
        <v>0.14280000000000001</v>
      </c>
      <c r="C1312">
        <v>7.3800000000000004E-2</v>
      </c>
      <c r="D1312">
        <v>0.14149999999999999</v>
      </c>
      <c r="E1312">
        <v>0.22670000000000001</v>
      </c>
      <c r="F1312">
        <v>0.16320000000000001</v>
      </c>
      <c r="G1312">
        <v>100</v>
      </c>
      <c r="H1312">
        <v>70</v>
      </c>
      <c r="I1312">
        <v>42</v>
      </c>
      <c r="J1312">
        <v>2</v>
      </c>
      <c r="K1312">
        <v>25.21</v>
      </c>
    </row>
    <row r="1313" spans="1:11">
      <c r="A1313">
        <v>0.56440000000000001</v>
      </c>
      <c r="B1313">
        <v>0.1076</v>
      </c>
      <c r="C1313">
        <v>2.5000000000000001E-2</v>
      </c>
      <c r="D1313">
        <v>6.0199999999999997E-2</v>
      </c>
      <c r="E1313">
        <v>2.5999999999999999E-3</v>
      </c>
      <c r="F1313">
        <v>0.24010000000000001</v>
      </c>
      <c r="G1313">
        <v>80</v>
      </c>
      <c r="H1313">
        <v>110</v>
      </c>
      <c r="I1313">
        <v>37</v>
      </c>
      <c r="J1313">
        <v>2</v>
      </c>
      <c r="K1313">
        <v>45.152000000000001</v>
      </c>
    </row>
    <row r="1314" spans="1:11">
      <c r="A1314">
        <v>0.24060000000000001</v>
      </c>
      <c r="B1314">
        <v>3.27E-2</v>
      </c>
      <c r="C1314">
        <v>3.3700000000000001E-2</v>
      </c>
      <c r="D1314">
        <v>6.7000000000000002E-3</v>
      </c>
      <c r="E1314">
        <v>0.14230000000000001</v>
      </c>
      <c r="F1314">
        <v>0.54400000000000004</v>
      </c>
      <c r="G1314">
        <v>180</v>
      </c>
      <c r="H1314">
        <v>250</v>
      </c>
      <c r="I1314">
        <v>42</v>
      </c>
      <c r="J1314">
        <v>1</v>
      </c>
      <c r="K1314">
        <v>43.308</v>
      </c>
    </row>
    <row r="1315" spans="1:11">
      <c r="A1315">
        <v>0.38150000000000001</v>
      </c>
      <c r="B1315">
        <v>6.2399999999999997E-2</v>
      </c>
      <c r="C1315">
        <v>2.5000000000000001E-2</v>
      </c>
      <c r="D1315">
        <v>0</v>
      </c>
      <c r="E1315">
        <v>0.36990000000000001</v>
      </c>
      <c r="F1315">
        <v>0.16120000000000001</v>
      </c>
      <c r="G1315">
        <v>100</v>
      </c>
      <c r="H1315">
        <v>160</v>
      </c>
      <c r="I1315">
        <v>46</v>
      </c>
      <c r="J1315">
        <v>2</v>
      </c>
      <c r="K1315">
        <v>38.15</v>
      </c>
    </row>
    <row r="1316" spans="1:11">
      <c r="A1316">
        <v>0.30199999999999999</v>
      </c>
      <c r="B1316">
        <v>6.9199999999999998E-2</v>
      </c>
      <c r="C1316">
        <v>0.14380000000000001</v>
      </c>
      <c r="D1316">
        <v>0.19120000000000001</v>
      </c>
      <c r="E1316">
        <v>0.18329999999999999</v>
      </c>
      <c r="F1316">
        <v>0.1105</v>
      </c>
      <c r="G1316">
        <v>110</v>
      </c>
      <c r="H1316">
        <v>130</v>
      </c>
      <c r="I1316">
        <v>45</v>
      </c>
      <c r="J1316">
        <v>1</v>
      </c>
      <c r="K1316">
        <v>33.22</v>
      </c>
    </row>
    <row r="1317" spans="1:11">
      <c r="A1317">
        <v>0.24829999999999999</v>
      </c>
      <c r="B1317">
        <v>0.1542</v>
      </c>
      <c r="C1317">
        <v>2.2100000000000002E-2</v>
      </c>
      <c r="D1317">
        <v>0</v>
      </c>
      <c r="E1317">
        <v>4.5999999999999999E-3</v>
      </c>
      <c r="F1317">
        <v>0.57079999999999997</v>
      </c>
      <c r="G1317">
        <v>60</v>
      </c>
      <c r="H1317">
        <v>100</v>
      </c>
      <c r="I1317">
        <v>30</v>
      </c>
      <c r="J1317">
        <v>1</v>
      </c>
      <c r="K1317">
        <v>14.898</v>
      </c>
    </row>
    <row r="1318" spans="1:11">
      <c r="A1318">
        <v>0.3821</v>
      </c>
      <c r="B1318">
        <v>5.9900000000000002E-2</v>
      </c>
      <c r="C1318">
        <v>1.1999999999999999E-3</v>
      </c>
      <c r="D1318">
        <v>0</v>
      </c>
      <c r="E1318">
        <v>0.1915</v>
      </c>
      <c r="F1318">
        <v>0.36530000000000001</v>
      </c>
      <c r="G1318">
        <v>80</v>
      </c>
      <c r="H1318">
        <v>110</v>
      </c>
      <c r="I1318">
        <v>28</v>
      </c>
      <c r="J1318">
        <v>2</v>
      </c>
      <c r="K1318">
        <v>30.568000000000001</v>
      </c>
    </row>
    <row r="1319" spans="1:11">
      <c r="A1319">
        <v>0.3931</v>
      </c>
      <c r="B1319">
        <v>0.1089</v>
      </c>
      <c r="C1319">
        <v>2.2000000000000001E-3</v>
      </c>
      <c r="D1319">
        <v>6.4000000000000001E-2</v>
      </c>
      <c r="E1319">
        <v>5.9900000000000002E-2</v>
      </c>
      <c r="F1319">
        <v>0.37190000000000001</v>
      </c>
      <c r="G1319">
        <v>80</v>
      </c>
      <c r="H1319">
        <v>140</v>
      </c>
      <c r="I1319">
        <v>40</v>
      </c>
      <c r="J1319">
        <v>2</v>
      </c>
      <c r="K1319">
        <v>31.448</v>
      </c>
    </row>
    <row r="1320" spans="1:11">
      <c r="A1320">
        <v>0.55469999999999997</v>
      </c>
      <c r="B1320">
        <v>7.4800000000000005E-2</v>
      </c>
      <c r="C1320">
        <v>0</v>
      </c>
      <c r="D1320">
        <v>4.9700000000000001E-2</v>
      </c>
      <c r="E1320">
        <v>0</v>
      </c>
      <c r="F1320">
        <v>0.32079999999999997</v>
      </c>
      <c r="G1320">
        <v>60</v>
      </c>
      <c r="H1320">
        <v>170</v>
      </c>
      <c r="I1320">
        <v>33</v>
      </c>
      <c r="J1320">
        <v>2</v>
      </c>
      <c r="K1320">
        <v>33.281999999999996</v>
      </c>
    </row>
    <row r="1321" spans="1:11">
      <c r="A1321">
        <v>0.22489999999999999</v>
      </c>
      <c r="B1321">
        <v>5.9700000000000003E-2</v>
      </c>
      <c r="C1321">
        <v>0.1171</v>
      </c>
      <c r="D1321">
        <v>1.89E-2</v>
      </c>
      <c r="E1321">
        <v>0.3508</v>
      </c>
      <c r="F1321">
        <v>0.2286</v>
      </c>
      <c r="G1321">
        <v>80</v>
      </c>
      <c r="H1321">
        <v>110</v>
      </c>
      <c r="I1321">
        <v>31</v>
      </c>
      <c r="J1321">
        <v>2</v>
      </c>
      <c r="K1321">
        <v>17.992000000000001</v>
      </c>
    </row>
    <row r="1322" spans="1:11">
      <c r="A1322">
        <v>0.25330000000000003</v>
      </c>
      <c r="B1322">
        <v>4.5199999999999997E-2</v>
      </c>
      <c r="C1322">
        <v>6.8500000000000005E-2</v>
      </c>
      <c r="D1322">
        <v>0</v>
      </c>
      <c r="E1322">
        <v>0.26989999999999997</v>
      </c>
      <c r="F1322">
        <v>0.36309999999999998</v>
      </c>
      <c r="G1322">
        <v>90</v>
      </c>
      <c r="H1322">
        <v>100</v>
      </c>
      <c r="I1322">
        <v>23</v>
      </c>
      <c r="J1322">
        <v>1</v>
      </c>
      <c r="K1322">
        <v>22.797000000000001</v>
      </c>
    </row>
    <row r="1323" spans="1:11">
      <c r="A1323">
        <v>0.2344</v>
      </c>
      <c r="B1323">
        <v>7.7399999999999997E-2</v>
      </c>
      <c r="C1323">
        <v>0</v>
      </c>
      <c r="D1323">
        <v>3.4700000000000002E-2</v>
      </c>
      <c r="E1323">
        <v>0.25359999999999999</v>
      </c>
      <c r="F1323">
        <v>0.39989999999999998</v>
      </c>
      <c r="G1323">
        <v>70</v>
      </c>
      <c r="H1323">
        <v>140</v>
      </c>
      <c r="I1323">
        <v>30</v>
      </c>
      <c r="J1323">
        <v>2</v>
      </c>
      <c r="K1323">
        <v>16.408000000000001</v>
      </c>
    </row>
    <row r="1324" spans="1:11">
      <c r="A1324">
        <v>0.54800000000000004</v>
      </c>
      <c r="B1324">
        <v>0.1144</v>
      </c>
      <c r="C1324">
        <v>0.01</v>
      </c>
      <c r="D1324">
        <v>0</v>
      </c>
      <c r="E1324">
        <v>4.02E-2</v>
      </c>
      <c r="F1324">
        <v>0.28739999999999999</v>
      </c>
      <c r="G1324">
        <v>100</v>
      </c>
      <c r="H1324">
        <v>110</v>
      </c>
      <c r="I1324">
        <v>38</v>
      </c>
      <c r="J1324">
        <v>1</v>
      </c>
      <c r="K1324">
        <v>54.8</v>
      </c>
    </row>
    <row r="1325" spans="1:11">
      <c r="A1325">
        <v>0.2036</v>
      </c>
      <c r="B1325">
        <v>5.04E-2</v>
      </c>
      <c r="C1325">
        <v>0.10349999999999999</v>
      </c>
      <c r="D1325">
        <v>4.7000000000000002E-3</v>
      </c>
      <c r="E1325">
        <v>0.20119999999999999</v>
      </c>
      <c r="F1325">
        <v>0.43659999999999999</v>
      </c>
      <c r="G1325">
        <v>190</v>
      </c>
      <c r="H1325">
        <v>260</v>
      </c>
      <c r="I1325">
        <v>45</v>
      </c>
      <c r="J1325">
        <v>1</v>
      </c>
      <c r="K1325">
        <v>38.683999999999997</v>
      </c>
    </row>
    <row r="1326" spans="1:11">
      <c r="A1326">
        <v>0.36530000000000001</v>
      </c>
      <c r="B1326">
        <v>7.1199999999999999E-2</v>
      </c>
      <c r="C1326">
        <v>0</v>
      </c>
      <c r="D1326">
        <v>9.7000000000000003E-3</v>
      </c>
      <c r="E1326">
        <v>0.18529999999999999</v>
      </c>
      <c r="F1326">
        <v>0.36849999999999999</v>
      </c>
      <c r="G1326">
        <v>50</v>
      </c>
      <c r="H1326">
        <v>110</v>
      </c>
      <c r="I1326">
        <v>47</v>
      </c>
      <c r="J1326">
        <v>2</v>
      </c>
      <c r="K1326">
        <v>18.265000000000001</v>
      </c>
    </row>
    <row r="1327" spans="1:11">
      <c r="A1327">
        <v>0.46160000000000001</v>
      </c>
      <c r="B1327">
        <v>5.6300000000000003E-2</v>
      </c>
      <c r="C1327">
        <v>0.30530000000000002</v>
      </c>
      <c r="D1327">
        <v>0</v>
      </c>
      <c r="E1327">
        <v>5.7999999999999996E-3</v>
      </c>
      <c r="F1327">
        <v>0.17100000000000001</v>
      </c>
      <c r="G1327">
        <v>60</v>
      </c>
      <c r="H1327">
        <v>110</v>
      </c>
      <c r="I1327">
        <v>50</v>
      </c>
      <c r="J1327">
        <v>1</v>
      </c>
      <c r="K1327">
        <v>27.696000000000002</v>
      </c>
    </row>
    <row r="1328" spans="1:11">
      <c r="A1328">
        <v>0.38979999999999998</v>
      </c>
      <c r="B1328">
        <v>4.2500000000000003E-2</v>
      </c>
      <c r="C1328">
        <v>0.1827</v>
      </c>
      <c r="D1328">
        <v>0</v>
      </c>
      <c r="E1328">
        <v>0.24410000000000001</v>
      </c>
      <c r="F1328">
        <v>0.14080000000000001</v>
      </c>
      <c r="G1328">
        <v>80</v>
      </c>
      <c r="H1328">
        <v>160</v>
      </c>
      <c r="I1328">
        <v>36</v>
      </c>
      <c r="J1328">
        <v>2</v>
      </c>
      <c r="K1328">
        <v>31.184000000000001</v>
      </c>
    </row>
    <row r="1329" spans="1:11">
      <c r="A1329">
        <v>0.37690000000000001</v>
      </c>
      <c r="B1329">
        <v>5.6099999999999997E-2</v>
      </c>
      <c r="C1329">
        <v>0.1154</v>
      </c>
      <c r="D1329">
        <v>5.8500000000000003E-2</v>
      </c>
      <c r="E1329">
        <v>0.1142</v>
      </c>
      <c r="F1329">
        <v>0.27889999999999998</v>
      </c>
      <c r="G1329">
        <v>90</v>
      </c>
      <c r="H1329">
        <v>180</v>
      </c>
      <c r="I1329">
        <v>39</v>
      </c>
      <c r="J1329">
        <v>2</v>
      </c>
      <c r="K1329">
        <v>33.920999999999999</v>
      </c>
    </row>
    <row r="1330" spans="1:11">
      <c r="A1330">
        <v>0.44419999999999998</v>
      </c>
      <c r="B1330">
        <v>5.3499999999999999E-2</v>
      </c>
      <c r="C1330">
        <v>0.19689999999999999</v>
      </c>
      <c r="D1330">
        <v>3.3099999999999997E-2</v>
      </c>
      <c r="E1330">
        <v>0.13569999999999999</v>
      </c>
      <c r="F1330">
        <v>0.13669999999999999</v>
      </c>
      <c r="G1330">
        <v>110</v>
      </c>
      <c r="H1330">
        <v>180</v>
      </c>
      <c r="I1330">
        <v>26</v>
      </c>
      <c r="J1330">
        <v>2</v>
      </c>
      <c r="K1330">
        <v>48.862000000000002</v>
      </c>
    </row>
    <row r="1331" spans="1:11">
      <c r="A1331">
        <v>0.34589999999999999</v>
      </c>
      <c r="B1331">
        <v>6.8199999999999997E-2</v>
      </c>
      <c r="C1331">
        <v>9.4600000000000004E-2</v>
      </c>
      <c r="D1331">
        <v>6.2700000000000006E-2</v>
      </c>
      <c r="E1331">
        <v>0.1787</v>
      </c>
      <c r="F1331">
        <v>0.24979999999999999</v>
      </c>
      <c r="G1331">
        <v>80</v>
      </c>
      <c r="H1331">
        <v>130</v>
      </c>
      <c r="I1331">
        <v>28</v>
      </c>
      <c r="J1331">
        <v>1</v>
      </c>
      <c r="K1331">
        <v>27.672000000000001</v>
      </c>
    </row>
    <row r="1332" spans="1:11">
      <c r="A1332">
        <v>0.2445</v>
      </c>
      <c r="B1332">
        <v>7.8799999999999995E-2</v>
      </c>
      <c r="C1332">
        <v>0.13059999999999999</v>
      </c>
      <c r="D1332">
        <v>0.1197</v>
      </c>
      <c r="E1332">
        <v>9.5500000000000002E-2</v>
      </c>
      <c r="F1332">
        <v>0.33090000000000003</v>
      </c>
      <c r="G1332">
        <v>130</v>
      </c>
      <c r="H1332">
        <v>140</v>
      </c>
      <c r="I1332">
        <v>41</v>
      </c>
      <c r="J1332">
        <v>1</v>
      </c>
      <c r="K1332">
        <v>31.785</v>
      </c>
    </row>
    <row r="1333" spans="1:11">
      <c r="A1333">
        <v>0.37459999999999999</v>
      </c>
      <c r="B1333">
        <v>4.9700000000000001E-2</v>
      </c>
      <c r="C1333">
        <v>0.10059999999999999</v>
      </c>
      <c r="D1333">
        <v>0</v>
      </c>
      <c r="E1333">
        <v>0.13150000000000001</v>
      </c>
      <c r="F1333">
        <v>0.34370000000000001</v>
      </c>
      <c r="G1333">
        <v>110</v>
      </c>
      <c r="H1333">
        <v>90</v>
      </c>
      <c r="I1333">
        <v>51</v>
      </c>
      <c r="J1333">
        <v>2</v>
      </c>
      <c r="K1333">
        <v>41.206000000000003</v>
      </c>
    </row>
    <row r="1334" spans="1:11">
      <c r="A1334">
        <v>0.30209999999999998</v>
      </c>
      <c r="B1334">
        <v>7.8200000000000006E-2</v>
      </c>
      <c r="C1334">
        <v>7.5200000000000003E-2</v>
      </c>
      <c r="D1334">
        <v>0.1129</v>
      </c>
      <c r="E1334">
        <v>0.1215</v>
      </c>
      <c r="F1334">
        <v>0.31009999999999999</v>
      </c>
      <c r="G1334">
        <v>130</v>
      </c>
      <c r="H1334">
        <v>150</v>
      </c>
      <c r="I1334">
        <v>28</v>
      </c>
      <c r="J1334">
        <v>2</v>
      </c>
      <c r="K1334">
        <v>39.273000000000003</v>
      </c>
    </row>
    <row r="1335" spans="1:11">
      <c r="A1335">
        <v>0.26419999999999999</v>
      </c>
      <c r="B1335">
        <v>5.9799999999999999E-2</v>
      </c>
      <c r="C1335">
        <v>6.8199999999999997E-2</v>
      </c>
      <c r="D1335">
        <v>0.37330000000000002</v>
      </c>
      <c r="E1335">
        <v>2.86E-2</v>
      </c>
      <c r="F1335">
        <v>0.2059</v>
      </c>
      <c r="G1335">
        <v>150</v>
      </c>
      <c r="H1335">
        <v>180</v>
      </c>
      <c r="I1335">
        <v>34</v>
      </c>
      <c r="J1335">
        <v>2</v>
      </c>
      <c r="K1335">
        <v>39.630000000000003</v>
      </c>
    </row>
    <row r="1336" spans="1:11">
      <c r="A1336">
        <v>0.35170000000000001</v>
      </c>
      <c r="B1336">
        <v>5.8599999999999999E-2</v>
      </c>
      <c r="C1336">
        <v>6.1999999999999998E-3</v>
      </c>
      <c r="D1336">
        <v>5.9700000000000003E-2</v>
      </c>
      <c r="E1336">
        <v>0.21740000000000001</v>
      </c>
      <c r="F1336">
        <v>0.30649999999999999</v>
      </c>
      <c r="G1336">
        <v>80</v>
      </c>
      <c r="H1336">
        <v>190</v>
      </c>
      <c r="I1336">
        <v>32</v>
      </c>
      <c r="J1336">
        <v>1</v>
      </c>
      <c r="K1336">
        <v>28.135999999999999</v>
      </c>
    </row>
    <row r="1337" spans="1:11">
      <c r="A1337">
        <v>0.45779999999999998</v>
      </c>
      <c r="B1337">
        <v>0.1908</v>
      </c>
      <c r="C1337">
        <v>0</v>
      </c>
      <c r="D1337">
        <v>0</v>
      </c>
      <c r="E1337">
        <v>4.4000000000000003E-3</v>
      </c>
      <c r="F1337">
        <v>0.34689999999999999</v>
      </c>
      <c r="G1337">
        <v>70</v>
      </c>
      <c r="H1337">
        <v>60</v>
      </c>
      <c r="I1337">
        <v>25</v>
      </c>
      <c r="J1337">
        <v>1</v>
      </c>
      <c r="K1337">
        <v>32.045999999999999</v>
      </c>
    </row>
    <row r="1338" spans="1:11">
      <c r="A1338">
        <v>0.36919999999999997</v>
      </c>
      <c r="B1338">
        <v>9.06E-2</v>
      </c>
      <c r="C1338">
        <v>4.5999999999999999E-3</v>
      </c>
      <c r="D1338">
        <v>3.6299999999999999E-2</v>
      </c>
      <c r="E1338">
        <v>0.1019</v>
      </c>
      <c r="F1338">
        <v>0.39750000000000002</v>
      </c>
      <c r="G1338">
        <v>80</v>
      </c>
      <c r="H1338">
        <v>90</v>
      </c>
      <c r="I1338">
        <v>31</v>
      </c>
      <c r="J1338">
        <v>2</v>
      </c>
      <c r="K1338">
        <v>29.536000000000001</v>
      </c>
    </row>
    <row r="1339" spans="1:11">
      <c r="A1339">
        <v>0.34610000000000002</v>
      </c>
      <c r="B1339">
        <v>6.0100000000000001E-2</v>
      </c>
      <c r="C1339">
        <v>5.2600000000000001E-2</v>
      </c>
      <c r="D1339">
        <v>3.8E-3</v>
      </c>
      <c r="E1339">
        <v>0.1125</v>
      </c>
      <c r="F1339">
        <v>0.4249</v>
      </c>
      <c r="G1339">
        <v>100</v>
      </c>
      <c r="H1339">
        <v>140</v>
      </c>
      <c r="I1339">
        <v>32</v>
      </c>
      <c r="J1339">
        <v>2</v>
      </c>
      <c r="K1339">
        <v>34.61</v>
      </c>
    </row>
    <row r="1340" spans="1:11">
      <c r="A1340">
        <v>0.52159999999999995</v>
      </c>
      <c r="B1340">
        <v>5.2400000000000002E-2</v>
      </c>
      <c r="C1340">
        <v>3.78E-2</v>
      </c>
      <c r="D1340">
        <v>6.9900000000000004E-2</v>
      </c>
      <c r="E1340">
        <v>0.2331</v>
      </c>
      <c r="F1340">
        <v>8.5199999999999998E-2</v>
      </c>
      <c r="G1340">
        <v>80</v>
      </c>
      <c r="H1340">
        <v>110</v>
      </c>
      <c r="I1340">
        <v>33</v>
      </c>
      <c r="J1340">
        <v>2</v>
      </c>
      <c r="K1340">
        <v>41.728000000000002</v>
      </c>
    </row>
    <row r="1341" spans="1:11">
      <c r="A1341">
        <v>0.39589999999999997</v>
      </c>
      <c r="B1341">
        <v>4.8800000000000003E-2</v>
      </c>
      <c r="C1341">
        <v>0.15340000000000001</v>
      </c>
      <c r="D1341">
        <v>6.8900000000000003E-2</v>
      </c>
      <c r="E1341">
        <v>7.4499999999999997E-2</v>
      </c>
      <c r="F1341">
        <v>0.25850000000000001</v>
      </c>
      <c r="G1341">
        <v>120</v>
      </c>
      <c r="H1341">
        <v>170</v>
      </c>
      <c r="I1341">
        <v>42</v>
      </c>
      <c r="J1341">
        <v>2</v>
      </c>
      <c r="K1341">
        <v>47.508000000000003</v>
      </c>
    </row>
    <row r="1342" spans="1:11">
      <c r="A1342">
        <v>0.39810000000000001</v>
      </c>
      <c r="B1342">
        <v>4.8599999999999997E-2</v>
      </c>
      <c r="C1342">
        <v>4.3799999999999999E-2</v>
      </c>
      <c r="D1342">
        <v>0.1168</v>
      </c>
      <c r="E1342">
        <v>6.7299999999999999E-2</v>
      </c>
      <c r="F1342">
        <v>0.32540000000000002</v>
      </c>
      <c r="G1342">
        <v>70</v>
      </c>
      <c r="H1342">
        <v>120</v>
      </c>
      <c r="I1342">
        <v>36</v>
      </c>
      <c r="J1342">
        <v>2</v>
      </c>
      <c r="K1342">
        <v>27.867000000000001</v>
      </c>
    </row>
    <row r="1343" spans="1:11">
      <c r="A1343">
        <v>0.23169999999999999</v>
      </c>
      <c r="B1343">
        <v>2.98E-2</v>
      </c>
      <c r="C1343">
        <v>0.17799999999999999</v>
      </c>
      <c r="D1343">
        <v>0</v>
      </c>
      <c r="E1343">
        <v>0.17380000000000001</v>
      </c>
      <c r="F1343">
        <v>0.38669999999999999</v>
      </c>
      <c r="G1343">
        <v>160</v>
      </c>
      <c r="H1343">
        <v>200</v>
      </c>
      <c r="I1343">
        <v>32</v>
      </c>
      <c r="J1343">
        <v>2</v>
      </c>
      <c r="K1343">
        <v>37.072000000000003</v>
      </c>
    </row>
    <row r="1344" spans="1:11">
      <c r="A1344">
        <v>0.29920000000000002</v>
      </c>
      <c r="B1344">
        <v>5.16E-2</v>
      </c>
      <c r="C1344">
        <v>0.23100000000000001</v>
      </c>
      <c r="D1344">
        <v>3.4500000000000003E-2</v>
      </c>
      <c r="E1344">
        <v>9.2600000000000002E-2</v>
      </c>
      <c r="F1344">
        <v>0.29110000000000003</v>
      </c>
      <c r="G1344">
        <v>130</v>
      </c>
      <c r="H1344">
        <v>220</v>
      </c>
      <c r="I1344">
        <v>45</v>
      </c>
      <c r="J1344">
        <v>2</v>
      </c>
      <c r="K1344">
        <v>38.896000000000001</v>
      </c>
    </row>
    <row r="1345" spans="1:11">
      <c r="A1345">
        <v>0.27039999999999997</v>
      </c>
      <c r="B1345">
        <v>0.13020000000000001</v>
      </c>
      <c r="C1345">
        <v>1.6899999999999998E-2</v>
      </c>
      <c r="D1345">
        <v>3.4799999999999998E-2</v>
      </c>
      <c r="E1345">
        <v>0.38329999999999997</v>
      </c>
      <c r="F1345">
        <v>0.16439999999999999</v>
      </c>
      <c r="G1345">
        <v>70</v>
      </c>
      <c r="H1345">
        <v>90</v>
      </c>
      <c r="I1345">
        <v>23</v>
      </c>
      <c r="J1345">
        <v>1</v>
      </c>
      <c r="K1345">
        <v>18.928000000000001</v>
      </c>
    </row>
    <row r="1346" spans="1:11">
      <c r="A1346">
        <v>0.40610000000000002</v>
      </c>
      <c r="B1346">
        <v>0.1164</v>
      </c>
      <c r="C1346">
        <v>6.5799999999999997E-2</v>
      </c>
      <c r="D1346">
        <v>0.1489</v>
      </c>
      <c r="E1346">
        <v>1.1900000000000001E-2</v>
      </c>
      <c r="F1346">
        <v>0.25090000000000001</v>
      </c>
      <c r="G1346">
        <v>80</v>
      </c>
      <c r="H1346">
        <v>100</v>
      </c>
      <c r="I1346">
        <v>26</v>
      </c>
      <c r="J1346">
        <v>1</v>
      </c>
      <c r="K1346">
        <v>32.488</v>
      </c>
    </row>
    <row r="1347" spans="1:11">
      <c r="A1347">
        <v>0.16950000000000001</v>
      </c>
      <c r="B1347">
        <v>4.8599999999999997E-2</v>
      </c>
      <c r="C1347">
        <v>0.18629999999999999</v>
      </c>
      <c r="D1347">
        <v>2.76E-2</v>
      </c>
      <c r="E1347">
        <v>0.18010000000000001</v>
      </c>
      <c r="F1347">
        <v>0.38800000000000001</v>
      </c>
      <c r="G1347">
        <v>170</v>
      </c>
      <c r="H1347">
        <v>450</v>
      </c>
      <c r="I1347">
        <v>42</v>
      </c>
      <c r="J1347">
        <v>2</v>
      </c>
      <c r="K1347">
        <v>28.815000000000001</v>
      </c>
    </row>
    <row r="1348" spans="1:11">
      <c r="A1348">
        <v>0.26910000000000001</v>
      </c>
      <c r="B1348">
        <v>7.4700000000000003E-2</v>
      </c>
      <c r="C1348">
        <v>8.5599999999999996E-2</v>
      </c>
      <c r="D1348">
        <v>4.7300000000000002E-2</v>
      </c>
      <c r="E1348">
        <v>0.38319999999999999</v>
      </c>
      <c r="F1348">
        <v>0.1401</v>
      </c>
      <c r="G1348">
        <v>100</v>
      </c>
      <c r="H1348">
        <v>120</v>
      </c>
      <c r="I1348">
        <v>45</v>
      </c>
      <c r="J1348">
        <v>1</v>
      </c>
      <c r="K1348">
        <v>26.91</v>
      </c>
    </row>
    <row r="1349" spans="1:11">
      <c r="A1349">
        <v>0.24199999999999999</v>
      </c>
      <c r="B1349">
        <v>6.5799999999999997E-2</v>
      </c>
      <c r="C1349">
        <v>0.1431</v>
      </c>
      <c r="D1349">
        <v>4.3700000000000003E-2</v>
      </c>
      <c r="E1349">
        <v>4.9200000000000001E-2</v>
      </c>
      <c r="F1349">
        <v>0.45619999999999999</v>
      </c>
      <c r="G1349">
        <v>160</v>
      </c>
      <c r="H1349">
        <v>150</v>
      </c>
      <c r="I1349">
        <v>37</v>
      </c>
      <c r="J1349">
        <v>1</v>
      </c>
      <c r="K1349">
        <v>38.72</v>
      </c>
    </row>
    <row r="1350" spans="1:11">
      <c r="A1350">
        <v>0.1605</v>
      </c>
      <c r="B1350">
        <v>0.1027</v>
      </c>
      <c r="C1350">
        <v>2.7099999999999999E-2</v>
      </c>
      <c r="D1350">
        <v>7.7100000000000002E-2</v>
      </c>
      <c r="E1350">
        <v>3.7400000000000003E-2</v>
      </c>
      <c r="F1350">
        <v>0.59519999999999995</v>
      </c>
      <c r="G1350">
        <v>110</v>
      </c>
      <c r="H1350">
        <v>200</v>
      </c>
      <c r="I1350">
        <v>35</v>
      </c>
      <c r="J1350">
        <v>2</v>
      </c>
      <c r="K1350">
        <v>17.655000000000001</v>
      </c>
    </row>
    <row r="1351" spans="1:11">
      <c r="A1351">
        <v>0.54900000000000004</v>
      </c>
      <c r="B1351">
        <v>6.3700000000000007E-2</v>
      </c>
      <c r="C1351">
        <v>4.9799999999999997E-2</v>
      </c>
      <c r="D1351">
        <v>0.1346</v>
      </c>
      <c r="E1351">
        <v>9.4799999999999995E-2</v>
      </c>
      <c r="F1351">
        <v>0.1081</v>
      </c>
      <c r="G1351">
        <v>120</v>
      </c>
      <c r="H1351">
        <v>140</v>
      </c>
      <c r="I1351">
        <v>58</v>
      </c>
      <c r="J1351">
        <v>2</v>
      </c>
      <c r="K1351">
        <v>65.88</v>
      </c>
    </row>
    <row r="1352" spans="1:11">
      <c r="A1352">
        <v>0.37830000000000003</v>
      </c>
      <c r="B1352">
        <v>0.31009999999999999</v>
      </c>
      <c r="C1352">
        <v>6.8199999999999997E-2</v>
      </c>
      <c r="D1352">
        <v>9.1000000000000004E-3</v>
      </c>
      <c r="E1352">
        <v>5.0599999999999999E-2</v>
      </c>
      <c r="F1352">
        <v>0.1837</v>
      </c>
      <c r="G1352">
        <v>110</v>
      </c>
      <c r="H1352">
        <v>80</v>
      </c>
      <c r="I1352">
        <v>43</v>
      </c>
      <c r="J1352">
        <v>2</v>
      </c>
      <c r="K1352">
        <v>41.613</v>
      </c>
    </row>
    <row r="1353" spans="1:11">
      <c r="A1353">
        <v>0.3473</v>
      </c>
      <c r="B1353">
        <v>4.6399999999999997E-2</v>
      </c>
      <c r="C1353">
        <v>0.12529999999999999</v>
      </c>
      <c r="D1353">
        <v>3.39E-2</v>
      </c>
      <c r="E1353">
        <v>0.30690000000000001</v>
      </c>
      <c r="F1353">
        <v>0.14019999999999999</v>
      </c>
      <c r="G1353">
        <v>260</v>
      </c>
      <c r="H1353">
        <v>160</v>
      </c>
      <c r="I1353">
        <v>33</v>
      </c>
      <c r="J1353">
        <v>2</v>
      </c>
      <c r="K1353">
        <v>90.298000000000002</v>
      </c>
    </row>
    <row r="1354" spans="1:11">
      <c r="A1354">
        <v>0.31359999999999999</v>
      </c>
      <c r="B1354">
        <v>2.6200000000000001E-2</v>
      </c>
      <c r="C1354">
        <v>0.15559999999999999</v>
      </c>
      <c r="D1354">
        <v>2.93E-2</v>
      </c>
      <c r="E1354">
        <v>0.1396</v>
      </c>
      <c r="F1354">
        <v>0.33560000000000001</v>
      </c>
      <c r="G1354">
        <v>180</v>
      </c>
      <c r="H1354">
        <v>120</v>
      </c>
      <c r="I1354">
        <v>26</v>
      </c>
      <c r="J1354">
        <v>2</v>
      </c>
      <c r="K1354">
        <v>56.448</v>
      </c>
    </row>
    <row r="1355" spans="1:11">
      <c r="A1355">
        <v>0.39129999999999998</v>
      </c>
      <c r="B1355">
        <v>3.9E-2</v>
      </c>
      <c r="C1355">
        <v>0.1132</v>
      </c>
      <c r="D1355">
        <v>7.0499999999999993E-2</v>
      </c>
      <c r="E1355">
        <v>0.1075</v>
      </c>
      <c r="F1355">
        <v>0.27850000000000003</v>
      </c>
      <c r="G1355">
        <v>150</v>
      </c>
      <c r="H1355">
        <v>120</v>
      </c>
      <c r="I1355">
        <v>26</v>
      </c>
      <c r="J1355">
        <v>2</v>
      </c>
      <c r="K1355">
        <v>58.695</v>
      </c>
    </row>
    <row r="1356" spans="1:11">
      <c r="A1356">
        <v>0.34810000000000002</v>
      </c>
      <c r="B1356">
        <v>5.5E-2</v>
      </c>
      <c r="C1356">
        <v>0.1179</v>
      </c>
      <c r="D1356">
        <v>0.13550000000000001</v>
      </c>
      <c r="E1356">
        <v>5.91E-2</v>
      </c>
      <c r="F1356">
        <v>0.28439999999999999</v>
      </c>
      <c r="G1356">
        <v>190</v>
      </c>
      <c r="H1356">
        <v>120</v>
      </c>
      <c r="I1356">
        <v>42</v>
      </c>
      <c r="J1356">
        <v>2</v>
      </c>
      <c r="K1356">
        <v>66.138999999999996</v>
      </c>
    </row>
    <row r="1357" spans="1:11">
      <c r="A1357">
        <v>0.3049</v>
      </c>
      <c r="B1357">
        <v>9.4700000000000006E-2</v>
      </c>
      <c r="C1357">
        <v>0.34039999999999998</v>
      </c>
      <c r="D1357">
        <v>0</v>
      </c>
      <c r="E1357">
        <v>0.1028</v>
      </c>
      <c r="F1357">
        <v>0.15720000000000001</v>
      </c>
      <c r="G1357">
        <v>110</v>
      </c>
      <c r="H1357">
        <v>100</v>
      </c>
      <c r="I1357">
        <v>29</v>
      </c>
      <c r="J1357">
        <v>2</v>
      </c>
      <c r="K1357">
        <v>33.539000000000001</v>
      </c>
    </row>
    <row r="1358" spans="1:11">
      <c r="A1358">
        <v>0.60570000000000002</v>
      </c>
      <c r="B1358">
        <v>6.8599999999999994E-2</v>
      </c>
      <c r="C1358">
        <v>0</v>
      </c>
      <c r="D1358">
        <v>1.5800000000000002E-2</v>
      </c>
      <c r="E1358">
        <v>3.27E-2</v>
      </c>
      <c r="F1358">
        <v>0.2772</v>
      </c>
      <c r="G1358">
        <v>50</v>
      </c>
      <c r="H1358">
        <v>90</v>
      </c>
      <c r="I1358">
        <v>23</v>
      </c>
      <c r="J1358">
        <v>1</v>
      </c>
      <c r="K1358">
        <v>30.285</v>
      </c>
    </row>
    <row r="1359" spans="1:11">
      <c r="A1359">
        <v>0.42020000000000002</v>
      </c>
      <c r="B1359">
        <v>9.0700000000000003E-2</v>
      </c>
      <c r="C1359">
        <v>6.59E-2</v>
      </c>
      <c r="D1359">
        <v>0</v>
      </c>
      <c r="E1359">
        <v>0.30620000000000003</v>
      </c>
      <c r="F1359">
        <v>0.11700000000000001</v>
      </c>
      <c r="G1359">
        <v>70</v>
      </c>
      <c r="H1359">
        <v>180</v>
      </c>
      <c r="I1359">
        <v>33</v>
      </c>
      <c r="J1359">
        <v>2</v>
      </c>
      <c r="K1359">
        <v>29.414000000000001</v>
      </c>
    </row>
    <row r="1360" spans="1:11">
      <c r="A1360">
        <v>0.48449999999999999</v>
      </c>
      <c r="B1360">
        <v>8.3199999999999996E-2</v>
      </c>
      <c r="C1360">
        <v>5.7200000000000001E-2</v>
      </c>
      <c r="D1360">
        <v>0.1457</v>
      </c>
      <c r="E1360">
        <v>0.15629999999999999</v>
      </c>
      <c r="F1360">
        <v>7.3099999999999998E-2</v>
      </c>
      <c r="G1360">
        <v>60</v>
      </c>
      <c r="H1360">
        <v>80</v>
      </c>
      <c r="I1360">
        <v>23</v>
      </c>
      <c r="J1360">
        <v>1</v>
      </c>
      <c r="K1360">
        <v>29.07</v>
      </c>
    </row>
    <row r="1361" spans="1:11">
      <c r="A1361">
        <v>0.33110000000000001</v>
      </c>
      <c r="B1361">
        <v>0.13930000000000001</v>
      </c>
      <c r="C1361">
        <v>0.1118</v>
      </c>
      <c r="D1361">
        <v>0</v>
      </c>
      <c r="E1361">
        <v>0.1898</v>
      </c>
      <c r="F1361">
        <v>0.2281</v>
      </c>
      <c r="G1361">
        <v>80</v>
      </c>
      <c r="H1361">
        <v>170</v>
      </c>
      <c r="I1361">
        <v>46</v>
      </c>
      <c r="J1361">
        <v>1</v>
      </c>
      <c r="K1361">
        <v>26.488</v>
      </c>
    </row>
    <row r="1362" spans="1:11">
      <c r="A1362">
        <v>0.2621</v>
      </c>
      <c r="B1362">
        <v>6.25E-2</v>
      </c>
      <c r="C1362">
        <v>0.1492</v>
      </c>
      <c r="D1362">
        <v>9.2899999999999996E-2</v>
      </c>
      <c r="E1362">
        <v>0.23949999999999999</v>
      </c>
      <c r="F1362">
        <v>0.1938</v>
      </c>
      <c r="G1362">
        <v>110</v>
      </c>
      <c r="H1362">
        <v>130</v>
      </c>
      <c r="I1362">
        <v>35</v>
      </c>
      <c r="J1362">
        <v>2</v>
      </c>
      <c r="K1362">
        <v>28.831</v>
      </c>
    </row>
    <row r="1363" spans="1:11">
      <c r="A1363">
        <v>0.3886</v>
      </c>
      <c r="B1363">
        <v>0.1197</v>
      </c>
      <c r="C1363">
        <v>1.6400000000000001E-2</v>
      </c>
      <c r="D1363">
        <v>7.7999999999999996E-3</v>
      </c>
      <c r="E1363">
        <v>8.8900000000000007E-2</v>
      </c>
      <c r="F1363">
        <v>0.37859999999999999</v>
      </c>
      <c r="G1363">
        <v>60</v>
      </c>
      <c r="H1363">
        <v>110</v>
      </c>
      <c r="I1363">
        <v>26</v>
      </c>
      <c r="J1363">
        <v>1</v>
      </c>
      <c r="K1363">
        <v>23.315999999999999</v>
      </c>
    </row>
    <row r="1364" spans="1:11">
      <c r="A1364">
        <v>0.2361</v>
      </c>
      <c r="B1364">
        <v>4.7899999999999998E-2</v>
      </c>
      <c r="C1364">
        <v>9.3600000000000003E-2</v>
      </c>
      <c r="D1364">
        <v>2.98E-2</v>
      </c>
      <c r="E1364">
        <v>0.1225</v>
      </c>
      <c r="F1364">
        <v>0.47010000000000002</v>
      </c>
      <c r="G1364">
        <v>130</v>
      </c>
      <c r="H1364">
        <v>170</v>
      </c>
      <c r="I1364">
        <v>45</v>
      </c>
      <c r="J1364">
        <v>1</v>
      </c>
      <c r="K1364">
        <v>30.693000000000001</v>
      </c>
    </row>
    <row r="1365" spans="1:11">
      <c r="A1365">
        <v>0.59519999999999995</v>
      </c>
      <c r="B1365">
        <v>0.14430000000000001</v>
      </c>
      <c r="C1365">
        <v>0</v>
      </c>
      <c r="D1365">
        <v>1.21E-2</v>
      </c>
      <c r="E1365">
        <v>8.3900000000000002E-2</v>
      </c>
      <c r="F1365">
        <v>0.16450000000000001</v>
      </c>
      <c r="G1365">
        <v>60</v>
      </c>
      <c r="H1365">
        <v>90</v>
      </c>
      <c r="I1365">
        <v>36</v>
      </c>
      <c r="J1365">
        <v>1</v>
      </c>
      <c r="K1365">
        <v>35.712000000000003</v>
      </c>
    </row>
    <row r="1366" spans="1:11">
      <c r="A1366">
        <v>0.27850000000000003</v>
      </c>
      <c r="B1366">
        <v>4.5199999999999997E-2</v>
      </c>
      <c r="C1366">
        <v>0.2092</v>
      </c>
      <c r="D1366">
        <v>8.8099999999999998E-2</v>
      </c>
      <c r="E1366">
        <v>8.8999999999999999E-3</v>
      </c>
      <c r="F1366">
        <v>0.37009999999999998</v>
      </c>
      <c r="G1366">
        <v>100</v>
      </c>
      <c r="H1366">
        <v>110</v>
      </c>
      <c r="I1366">
        <v>37</v>
      </c>
      <c r="J1366">
        <v>2</v>
      </c>
      <c r="K1366">
        <v>27.85</v>
      </c>
    </row>
    <row r="1367" spans="1:11">
      <c r="A1367">
        <v>0.52969999999999995</v>
      </c>
      <c r="B1367">
        <v>0.15240000000000001</v>
      </c>
      <c r="C1367">
        <v>2.6499999999999999E-2</v>
      </c>
      <c r="D1367">
        <v>0.13700000000000001</v>
      </c>
      <c r="E1367">
        <v>0</v>
      </c>
      <c r="F1367">
        <v>0.15440000000000001</v>
      </c>
      <c r="G1367">
        <v>40</v>
      </c>
      <c r="H1367">
        <v>70</v>
      </c>
      <c r="I1367">
        <v>27</v>
      </c>
      <c r="J1367">
        <v>2</v>
      </c>
      <c r="K1367">
        <v>21.187999999999999</v>
      </c>
    </row>
    <row r="1368" spans="1:11">
      <c r="A1368">
        <v>0.32500000000000001</v>
      </c>
      <c r="B1368">
        <v>5.2299999999999999E-2</v>
      </c>
      <c r="C1368">
        <v>0.1368</v>
      </c>
      <c r="D1368">
        <v>4.2999999999999997E-2</v>
      </c>
      <c r="E1368">
        <v>6.7000000000000004E-2</v>
      </c>
      <c r="F1368">
        <v>0.376</v>
      </c>
      <c r="G1368">
        <v>80</v>
      </c>
      <c r="H1368">
        <v>160</v>
      </c>
      <c r="I1368">
        <v>37</v>
      </c>
      <c r="J1368">
        <v>2</v>
      </c>
      <c r="K1368">
        <v>26</v>
      </c>
    </row>
    <row r="1369" spans="1:11">
      <c r="A1369">
        <v>0.38869999999999999</v>
      </c>
      <c r="B1369">
        <v>5.6099999999999997E-2</v>
      </c>
      <c r="C1369">
        <v>2.47E-2</v>
      </c>
      <c r="D1369">
        <v>1.8700000000000001E-2</v>
      </c>
      <c r="E1369">
        <v>0.30109999999999998</v>
      </c>
      <c r="F1369">
        <v>0.2107</v>
      </c>
      <c r="G1369">
        <v>100</v>
      </c>
      <c r="H1369">
        <v>140</v>
      </c>
      <c r="I1369">
        <v>42</v>
      </c>
      <c r="J1369">
        <v>2</v>
      </c>
      <c r="K1369">
        <v>38.869999999999997</v>
      </c>
    </row>
    <row r="1370" spans="1:11">
      <c r="A1370">
        <v>0.4637</v>
      </c>
      <c r="B1370">
        <v>6.6600000000000006E-2</v>
      </c>
      <c r="C1370">
        <v>0</v>
      </c>
      <c r="D1370">
        <v>6.83E-2</v>
      </c>
      <c r="E1370">
        <v>4.2799999999999998E-2</v>
      </c>
      <c r="F1370">
        <v>0.35859999999999997</v>
      </c>
      <c r="G1370">
        <v>70</v>
      </c>
      <c r="H1370">
        <v>110</v>
      </c>
      <c r="I1370">
        <v>35</v>
      </c>
      <c r="J1370">
        <v>2</v>
      </c>
      <c r="K1370">
        <v>32.459000000000003</v>
      </c>
    </row>
    <row r="1371" spans="1:11">
      <c r="A1371">
        <v>0.26650000000000001</v>
      </c>
      <c r="B1371">
        <v>8.2600000000000007E-2</v>
      </c>
      <c r="C1371">
        <v>0.1978</v>
      </c>
      <c r="D1371">
        <v>0.1167</v>
      </c>
      <c r="E1371">
        <v>7.6899999999999996E-2</v>
      </c>
      <c r="F1371">
        <v>0.25950000000000001</v>
      </c>
      <c r="G1371">
        <v>110</v>
      </c>
      <c r="H1371">
        <v>160</v>
      </c>
      <c r="I1371">
        <v>32</v>
      </c>
      <c r="J1371">
        <v>1</v>
      </c>
      <c r="K1371">
        <v>29.315000000000001</v>
      </c>
    </row>
    <row r="1372" spans="1:11">
      <c r="A1372">
        <v>0.33689999999999998</v>
      </c>
      <c r="B1372">
        <v>8.5500000000000007E-2</v>
      </c>
      <c r="C1372">
        <v>0.1244</v>
      </c>
      <c r="D1372">
        <v>1.01E-2</v>
      </c>
      <c r="E1372">
        <v>0.14530000000000001</v>
      </c>
      <c r="F1372">
        <v>0.29780000000000001</v>
      </c>
      <c r="G1372">
        <v>90</v>
      </c>
      <c r="H1372">
        <v>150</v>
      </c>
      <c r="I1372">
        <v>37</v>
      </c>
      <c r="J1372">
        <v>2</v>
      </c>
      <c r="K1372">
        <v>30.321000000000002</v>
      </c>
    </row>
    <row r="1373" spans="1:11">
      <c r="A1373">
        <v>0.1971</v>
      </c>
      <c r="B1373">
        <v>0.1142</v>
      </c>
      <c r="C1373">
        <v>0.1198</v>
      </c>
      <c r="D1373">
        <v>3.6900000000000002E-2</v>
      </c>
      <c r="E1373">
        <v>0.31419999999999998</v>
      </c>
      <c r="F1373">
        <v>0.21790000000000001</v>
      </c>
      <c r="G1373">
        <v>90</v>
      </c>
      <c r="H1373">
        <v>260</v>
      </c>
      <c r="I1373">
        <v>33</v>
      </c>
      <c r="J1373">
        <v>1</v>
      </c>
      <c r="K1373">
        <v>17.739000000000001</v>
      </c>
    </row>
    <row r="1374" spans="1:11">
      <c r="A1374">
        <v>0.56440000000000001</v>
      </c>
      <c r="B1374">
        <v>6.0900000000000003E-2</v>
      </c>
      <c r="C1374">
        <v>3.5000000000000003E-2</v>
      </c>
      <c r="D1374">
        <v>3.2899999999999999E-2</v>
      </c>
      <c r="E1374">
        <v>0.1275</v>
      </c>
      <c r="F1374">
        <v>0.1792</v>
      </c>
      <c r="G1374">
        <v>50</v>
      </c>
      <c r="H1374">
        <v>120</v>
      </c>
      <c r="I1374">
        <v>37</v>
      </c>
      <c r="J1374">
        <v>1</v>
      </c>
      <c r="K1374">
        <v>28.22</v>
      </c>
    </row>
    <row r="1375" spans="1:11">
      <c r="A1375">
        <v>0.26429999999999998</v>
      </c>
      <c r="B1375">
        <v>9.5899999999999999E-2</v>
      </c>
      <c r="C1375">
        <v>0</v>
      </c>
      <c r="D1375">
        <v>0.2029</v>
      </c>
      <c r="E1375">
        <v>8.8099999999999998E-2</v>
      </c>
      <c r="F1375">
        <v>0.3488</v>
      </c>
      <c r="G1375">
        <v>70</v>
      </c>
      <c r="H1375">
        <v>140</v>
      </c>
      <c r="I1375">
        <v>36</v>
      </c>
      <c r="J1375">
        <v>1</v>
      </c>
      <c r="K1375">
        <v>18.501000000000001</v>
      </c>
    </row>
    <row r="1376" spans="1:11">
      <c r="A1376">
        <v>0.34</v>
      </c>
      <c r="B1376">
        <v>7.2999999999999995E-2</v>
      </c>
      <c r="C1376">
        <v>7.6700000000000004E-2</v>
      </c>
      <c r="D1376">
        <v>1.5900000000000001E-2</v>
      </c>
      <c r="E1376">
        <v>0.35170000000000001</v>
      </c>
      <c r="F1376">
        <v>0.14269999999999999</v>
      </c>
      <c r="G1376">
        <v>40</v>
      </c>
      <c r="H1376">
        <v>100</v>
      </c>
      <c r="I1376">
        <v>37</v>
      </c>
      <c r="J1376">
        <v>1</v>
      </c>
      <c r="K1376">
        <v>13.6</v>
      </c>
    </row>
    <row r="1377" spans="1:11">
      <c r="A1377">
        <v>0.36020000000000002</v>
      </c>
      <c r="B1377">
        <v>5.3800000000000001E-2</v>
      </c>
      <c r="C1377">
        <v>0.1265</v>
      </c>
      <c r="D1377">
        <v>0.1045</v>
      </c>
      <c r="E1377">
        <v>0.1404</v>
      </c>
      <c r="F1377">
        <v>0.2145</v>
      </c>
      <c r="G1377">
        <v>90</v>
      </c>
      <c r="H1377">
        <v>100</v>
      </c>
      <c r="I1377">
        <v>31</v>
      </c>
      <c r="J1377">
        <v>1</v>
      </c>
      <c r="K1377">
        <v>32.417999999999999</v>
      </c>
    </row>
    <row r="1378" spans="1:11">
      <c r="A1378">
        <v>0.38729999999999998</v>
      </c>
      <c r="B1378">
        <v>6.83E-2</v>
      </c>
      <c r="C1378">
        <v>5.2699999999999997E-2</v>
      </c>
      <c r="D1378">
        <v>0</v>
      </c>
      <c r="E1378">
        <v>0.29020000000000001</v>
      </c>
      <c r="F1378">
        <v>0.20150000000000001</v>
      </c>
      <c r="G1378">
        <v>50</v>
      </c>
      <c r="H1378">
        <v>80</v>
      </c>
      <c r="I1378">
        <v>27</v>
      </c>
      <c r="J1378">
        <v>1</v>
      </c>
      <c r="K1378">
        <v>19.364999999999998</v>
      </c>
    </row>
    <row r="1379" spans="1:11">
      <c r="A1379">
        <v>0.1966</v>
      </c>
      <c r="B1379">
        <v>4.8000000000000001E-2</v>
      </c>
      <c r="C1379">
        <v>0.22239999999999999</v>
      </c>
      <c r="D1379">
        <v>0.106</v>
      </c>
      <c r="E1379">
        <v>9.0499999999999997E-2</v>
      </c>
      <c r="F1379">
        <v>0.33660000000000001</v>
      </c>
      <c r="G1379">
        <v>150</v>
      </c>
      <c r="H1379">
        <v>110</v>
      </c>
      <c r="I1379">
        <v>51</v>
      </c>
      <c r="J1379">
        <v>1</v>
      </c>
      <c r="K1379">
        <v>29.49</v>
      </c>
    </row>
    <row r="1380" spans="1:11">
      <c r="A1380">
        <v>0.2863</v>
      </c>
      <c r="B1380">
        <v>4.87E-2</v>
      </c>
      <c r="C1380">
        <v>4.4999999999999997E-3</v>
      </c>
      <c r="D1380">
        <v>4.3200000000000002E-2</v>
      </c>
      <c r="E1380">
        <v>0.24210000000000001</v>
      </c>
      <c r="F1380">
        <v>0.37530000000000002</v>
      </c>
      <c r="G1380">
        <v>60</v>
      </c>
      <c r="H1380">
        <v>90</v>
      </c>
      <c r="I1380">
        <v>31</v>
      </c>
      <c r="J1380">
        <v>2</v>
      </c>
      <c r="K1380">
        <v>17.178000000000001</v>
      </c>
    </row>
    <row r="1381" spans="1:11">
      <c r="A1381">
        <v>0.37930000000000003</v>
      </c>
      <c r="B1381">
        <v>5.8299999999999998E-2</v>
      </c>
      <c r="C1381">
        <v>7.6799999999999993E-2</v>
      </c>
      <c r="D1381">
        <v>0</v>
      </c>
      <c r="E1381">
        <v>0.30909999999999999</v>
      </c>
      <c r="F1381">
        <v>0.17649999999999999</v>
      </c>
      <c r="G1381">
        <v>110</v>
      </c>
      <c r="H1381">
        <v>180</v>
      </c>
      <c r="I1381">
        <v>37</v>
      </c>
      <c r="J1381">
        <v>2</v>
      </c>
      <c r="K1381">
        <v>41.722999999999999</v>
      </c>
    </row>
    <row r="1382" spans="1:11">
      <c r="A1382">
        <v>0.29459999999999997</v>
      </c>
      <c r="B1382">
        <v>4.1000000000000002E-2</v>
      </c>
      <c r="C1382">
        <v>3.5000000000000001E-3</v>
      </c>
      <c r="D1382">
        <v>0.30130000000000001</v>
      </c>
      <c r="E1382">
        <v>8.5599999999999996E-2</v>
      </c>
      <c r="F1382">
        <v>0.27400000000000002</v>
      </c>
      <c r="G1382">
        <v>130</v>
      </c>
      <c r="H1382">
        <v>420</v>
      </c>
      <c r="I1382">
        <v>35</v>
      </c>
      <c r="J1382">
        <v>1</v>
      </c>
      <c r="K1382">
        <v>38.298000000000002</v>
      </c>
    </row>
    <row r="1383" spans="1:11">
      <c r="A1383">
        <v>0.31759999999999999</v>
      </c>
      <c r="B1383">
        <v>4.4699999999999997E-2</v>
      </c>
      <c r="C1383">
        <v>0.19409999999999999</v>
      </c>
      <c r="D1383">
        <v>3.3000000000000002E-2</v>
      </c>
      <c r="E1383">
        <v>9.4899999999999998E-2</v>
      </c>
      <c r="F1383">
        <v>0.31569999999999998</v>
      </c>
      <c r="G1383">
        <v>120</v>
      </c>
      <c r="H1383">
        <v>230</v>
      </c>
      <c r="I1383">
        <v>33</v>
      </c>
      <c r="J1383">
        <v>2</v>
      </c>
      <c r="K1383">
        <v>38.112000000000002</v>
      </c>
    </row>
    <row r="1384" spans="1:11">
      <c r="A1384">
        <v>0.38740000000000002</v>
      </c>
      <c r="B1384">
        <v>6.7699999999999996E-2</v>
      </c>
      <c r="C1384">
        <v>0.18779999999999999</v>
      </c>
      <c r="D1384">
        <v>0.03</v>
      </c>
      <c r="E1384">
        <v>0.1472</v>
      </c>
      <c r="F1384">
        <v>0.17979999999999999</v>
      </c>
      <c r="G1384">
        <v>100</v>
      </c>
      <c r="H1384">
        <v>160</v>
      </c>
      <c r="I1384">
        <v>36</v>
      </c>
      <c r="J1384">
        <v>1</v>
      </c>
      <c r="K1384">
        <v>38.74</v>
      </c>
    </row>
    <row r="1385" spans="1:11">
      <c r="A1385">
        <v>0.20549999999999999</v>
      </c>
      <c r="B1385">
        <v>3.0200000000000001E-2</v>
      </c>
      <c r="C1385">
        <v>8.3699999999999997E-2</v>
      </c>
      <c r="D1385">
        <v>2.8000000000000001E-2</v>
      </c>
      <c r="E1385">
        <v>0.3039</v>
      </c>
      <c r="F1385">
        <v>0.34870000000000001</v>
      </c>
      <c r="G1385">
        <v>90</v>
      </c>
      <c r="H1385">
        <v>140</v>
      </c>
      <c r="I1385">
        <v>32</v>
      </c>
      <c r="J1385">
        <v>2</v>
      </c>
      <c r="K1385">
        <v>18.495000000000001</v>
      </c>
    </row>
    <row r="1386" spans="1:11">
      <c r="A1386">
        <v>0.31730000000000003</v>
      </c>
      <c r="B1386">
        <v>4.9299999999999997E-2</v>
      </c>
      <c r="C1386">
        <v>0.2087</v>
      </c>
      <c r="D1386">
        <v>6.6699999999999995E-2</v>
      </c>
      <c r="E1386">
        <v>0.1497</v>
      </c>
      <c r="F1386">
        <v>0.2084</v>
      </c>
      <c r="G1386">
        <v>70</v>
      </c>
      <c r="H1386">
        <v>100</v>
      </c>
      <c r="I1386">
        <v>35</v>
      </c>
      <c r="J1386">
        <v>1</v>
      </c>
      <c r="K1386">
        <v>22.210999999999999</v>
      </c>
    </row>
    <row r="1387" spans="1:11">
      <c r="A1387">
        <v>0.2394</v>
      </c>
      <c r="B1387">
        <v>4.7E-2</v>
      </c>
      <c r="C1387">
        <v>0.15229999999999999</v>
      </c>
      <c r="D1387">
        <v>0.12379999999999999</v>
      </c>
      <c r="E1387">
        <v>0.23100000000000001</v>
      </c>
      <c r="F1387">
        <v>0.20660000000000001</v>
      </c>
      <c r="G1387">
        <v>100</v>
      </c>
      <c r="H1387">
        <v>140</v>
      </c>
      <c r="I1387">
        <v>32</v>
      </c>
      <c r="J1387">
        <v>1</v>
      </c>
      <c r="K1387">
        <v>23.94</v>
      </c>
    </row>
    <row r="1388" spans="1:11">
      <c r="A1388">
        <v>0.18429999999999999</v>
      </c>
      <c r="B1388">
        <v>3.5799999999999998E-2</v>
      </c>
      <c r="C1388">
        <v>2.5999999999999999E-3</v>
      </c>
      <c r="D1388">
        <v>0.2303</v>
      </c>
      <c r="E1388">
        <v>2.2200000000000001E-2</v>
      </c>
      <c r="F1388">
        <v>0.52490000000000003</v>
      </c>
      <c r="G1388">
        <v>270</v>
      </c>
      <c r="H1388">
        <v>290</v>
      </c>
      <c r="I1388">
        <v>34</v>
      </c>
      <c r="J1388">
        <v>2</v>
      </c>
      <c r="K1388">
        <v>49.761000000000003</v>
      </c>
    </row>
    <row r="1389" spans="1:11">
      <c r="A1389">
        <v>0.43840000000000001</v>
      </c>
      <c r="B1389">
        <v>4.2099999999999999E-2</v>
      </c>
      <c r="C1389">
        <v>0.28920000000000001</v>
      </c>
      <c r="D1389">
        <v>0</v>
      </c>
      <c r="E1389">
        <v>4.6899999999999997E-2</v>
      </c>
      <c r="F1389">
        <v>0.18329999999999999</v>
      </c>
      <c r="G1389">
        <v>100</v>
      </c>
      <c r="H1389">
        <v>90</v>
      </c>
      <c r="I1389">
        <v>57</v>
      </c>
      <c r="J1389">
        <v>1</v>
      </c>
      <c r="K1389">
        <v>43.84</v>
      </c>
    </row>
    <row r="1390" spans="1:11">
      <c r="A1390">
        <v>0.28420000000000001</v>
      </c>
      <c r="B1390">
        <v>5.6399999999999999E-2</v>
      </c>
      <c r="C1390">
        <v>3.8E-3</v>
      </c>
      <c r="D1390">
        <v>2.6599999999999999E-2</v>
      </c>
      <c r="E1390">
        <v>7.2499999999999995E-2</v>
      </c>
      <c r="F1390">
        <v>0.55640000000000001</v>
      </c>
      <c r="G1390">
        <v>150</v>
      </c>
      <c r="H1390">
        <v>240</v>
      </c>
      <c r="I1390">
        <v>50</v>
      </c>
      <c r="J1390">
        <v>2</v>
      </c>
      <c r="K1390">
        <v>42.63</v>
      </c>
    </row>
    <row r="1391" spans="1:11">
      <c r="A1391">
        <v>0.46579999999999999</v>
      </c>
      <c r="B1391">
        <v>6.4500000000000002E-2</v>
      </c>
      <c r="C1391">
        <v>7.1300000000000002E-2</v>
      </c>
      <c r="D1391">
        <v>2.1100000000000001E-2</v>
      </c>
      <c r="E1391">
        <v>0.1133</v>
      </c>
      <c r="F1391">
        <v>0.26400000000000001</v>
      </c>
      <c r="G1391">
        <v>70</v>
      </c>
      <c r="H1391">
        <v>80</v>
      </c>
      <c r="I1391">
        <v>41</v>
      </c>
      <c r="J1391">
        <v>1</v>
      </c>
      <c r="K1391">
        <v>32.606000000000002</v>
      </c>
    </row>
    <row r="1392" spans="1:11">
      <c r="A1392">
        <v>0.47410000000000002</v>
      </c>
      <c r="B1392">
        <v>0.1242</v>
      </c>
      <c r="C1392">
        <v>9.4000000000000004E-3</v>
      </c>
      <c r="D1392">
        <v>0.1145</v>
      </c>
      <c r="E1392">
        <v>6.6000000000000003E-2</v>
      </c>
      <c r="F1392">
        <v>0.21179999999999999</v>
      </c>
      <c r="G1392">
        <v>110</v>
      </c>
      <c r="H1392">
        <v>130</v>
      </c>
      <c r="I1392">
        <v>48</v>
      </c>
      <c r="J1392">
        <v>2</v>
      </c>
      <c r="K1392">
        <v>52.151000000000003</v>
      </c>
    </row>
    <row r="1393" spans="1:11">
      <c r="A1393">
        <v>0.37609999999999999</v>
      </c>
      <c r="B1393">
        <v>0.16839999999999999</v>
      </c>
      <c r="C1393">
        <v>6.5600000000000006E-2</v>
      </c>
      <c r="D1393">
        <v>6.1999999999999998E-3</v>
      </c>
      <c r="E1393">
        <v>0.2697</v>
      </c>
      <c r="F1393">
        <v>0.114</v>
      </c>
      <c r="G1393">
        <v>80</v>
      </c>
      <c r="H1393">
        <v>90</v>
      </c>
      <c r="I1393">
        <v>32</v>
      </c>
      <c r="J1393">
        <v>2</v>
      </c>
      <c r="K1393">
        <v>30.088000000000001</v>
      </c>
    </row>
    <row r="1394" spans="1:11">
      <c r="A1394">
        <v>0.4093</v>
      </c>
      <c r="B1394">
        <v>0.18010000000000001</v>
      </c>
      <c r="C1394">
        <v>0.1082</v>
      </c>
      <c r="D1394">
        <v>5.4100000000000002E-2</v>
      </c>
      <c r="E1394">
        <v>0</v>
      </c>
      <c r="F1394">
        <v>0.24840000000000001</v>
      </c>
      <c r="G1394">
        <v>60</v>
      </c>
      <c r="H1394">
        <v>70</v>
      </c>
      <c r="I1394">
        <v>24</v>
      </c>
      <c r="J1394">
        <v>2</v>
      </c>
      <c r="K1394">
        <v>24.558</v>
      </c>
    </row>
    <row r="1395" spans="1:11">
      <c r="A1395">
        <v>0.46989999999999998</v>
      </c>
      <c r="B1395">
        <v>6.2100000000000002E-2</v>
      </c>
      <c r="C1395">
        <v>0.12620000000000001</v>
      </c>
      <c r="D1395">
        <v>1.52E-2</v>
      </c>
      <c r="E1395">
        <v>0.14949999999999999</v>
      </c>
      <c r="F1395">
        <v>0.17699999999999999</v>
      </c>
      <c r="G1395">
        <v>70</v>
      </c>
      <c r="H1395">
        <v>90</v>
      </c>
      <c r="I1395">
        <v>29</v>
      </c>
      <c r="J1395">
        <v>1</v>
      </c>
      <c r="K1395">
        <v>32.893000000000001</v>
      </c>
    </row>
    <row r="1396" spans="1:11">
      <c r="A1396">
        <v>0.45710000000000001</v>
      </c>
      <c r="B1396">
        <v>0.11</v>
      </c>
      <c r="C1396">
        <v>0.13189999999999999</v>
      </c>
      <c r="D1396">
        <v>0</v>
      </c>
      <c r="E1396">
        <v>5.1000000000000004E-3</v>
      </c>
      <c r="F1396">
        <v>0.2959</v>
      </c>
      <c r="G1396">
        <v>70</v>
      </c>
      <c r="H1396">
        <v>90</v>
      </c>
      <c r="I1396">
        <v>35</v>
      </c>
      <c r="J1396">
        <v>2</v>
      </c>
      <c r="K1396">
        <v>31.997</v>
      </c>
    </row>
    <row r="1397" spans="1:11">
      <c r="A1397">
        <v>0.41670000000000001</v>
      </c>
      <c r="B1397">
        <v>6.1199999999999997E-2</v>
      </c>
      <c r="C1397">
        <v>0.19059999999999999</v>
      </c>
      <c r="D1397">
        <v>7.9600000000000004E-2</v>
      </c>
      <c r="E1397">
        <v>0.1234</v>
      </c>
      <c r="F1397">
        <v>0.12870000000000001</v>
      </c>
      <c r="G1397">
        <v>150</v>
      </c>
      <c r="H1397">
        <v>170</v>
      </c>
      <c r="I1397">
        <v>37</v>
      </c>
      <c r="J1397">
        <v>2</v>
      </c>
      <c r="K1397">
        <v>62.505000000000003</v>
      </c>
    </row>
    <row r="1398" spans="1:11">
      <c r="A1398">
        <v>0.31740000000000002</v>
      </c>
      <c r="B1398">
        <v>5.1799999999999999E-2</v>
      </c>
      <c r="C1398">
        <v>0.2457</v>
      </c>
      <c r="D1398">
        <v>0</v>
      </c>
      <c r="E1398">
        <v>0.22889999999999999</v>
      </c>
      <c r="F1398">
        <v>0.15620000000000001</v>
      </c>
      <c r="G1398">
        <v>110</v>
      </c>
      <c r="H1398">
        <v>70</v>
      </c>
      <c r="I1398">
        <v>30</v>
      </c>
      <c r="J1398">
        <v>2</v>
      </c>
      <c r="K1398">
        <v>34.914000000000001</v>
      </c>
    </row>
    <row r="1399" spans="1:11">
      <c r="A1399">
        <v>0.48849999999999999</v>
      </c>
      <c r="B1399">
        <v>8.3799999999999999E-2</v>
      </c>
      <c r="C1399">
        <v>0</v>
      </c>
      <c r="D1399">
        <v>7.2900000000000006E-2</v>
      </c>
      <c r="E1399">
        <v>3.4200000000000001E-2</v>
      </c>
      <c r="F1399">
        <v>0.3206</v>
      </c>
      <c r="G1399">
        <v>60</v>
      </c>
      <c r="H1399">
        <v>100</v>
      </c>
      <c r="I1399">
        <v>33</v>
      </c>
      <c r="J1399">
        <v>2</v>
      </c>
      <c r="K1399">
        <v>29.31</v>
      </c>
    </row>
    <row r="1400" spans="1:11">
      <c r="A1400">
        <v>0.3921</v>
      </c>
      <c r="B1400">
        <v>9.35E-2</v>
      </c>
      <c r="C1400">
        <v>0.17069999999999999</v>
      </c>
      <c r="D1400">
        <v>4.19E-2</v>
      </c>
      <c r="E1400">
        <v>0.125</v>
      </c>
      <c r="F1400">
        <v>0.17680000000000001</v>
      </c>
      <c r="G1400">
        <v>90</v>
      </c>
      <c r="H1400">
        <v>110</v>
      </c>
      <c r="I1400">
        <v>41</v>
      </c>
      <c r="J1400">
        <v>2</v>
      </c>
      <c r="K1400">
        <v>35.289000000000001</v>
      </c>
    </row>
    <row r="1401" spans="1:11">
      <c r="A1401">
        <v>0.2969</v>
      </c>
      <c r="B1401">
        <v>5.1700000000000003E-2</v>
      </c>
      <c r="C1401">
        <v>0.1759</v>
      </c>
      <c r="D1401">
        <v>0</v>
      </c>
      <c r="E1401">
        <v>0.35249999999999998</v>
      </c>
      <c r="F1401">
        <v>0.123</v>
      </c>
      <c r="G1401">
        <v>160</v>
      </c>
      <c r="H1401">
        <v>220</v>
      </c>
      <c r="I1401">
        <v>39</v>
      </c>
      <c r="J1401">
        <v>2</v>
      </c>
      <c r="K1401">
        <v>47.503999999999998</v>
      </c>
    </row>
    <row r="1402" spans="1:11">
      <c r="A1402">
        <v>0.374</v>
      </c>
      <c r="B1402">
        <v>5.6300000000000003E-2</v>
      </c>
      <c r="C1402">
        <v>0.13500000000000001</v>
      </c>
      <c r="D1402">
        <v>7.7999999999999996E-3</v>
      </c>
      <c r="E1402">
        <v>0.17760000000000001</v>
      </c>
      <c r="F1402">
        <v>0.24929999999999999</v>
      </c>
      <c r="G1402">
        <v>80</v>
      </c>
      <c r="H1402">
        <v>130</v>
      </c>
      <c r="I1402">
        <v>44</v>
      </c>
      <c r="J1402">
        <v>2</v>
      </c>
      <c r="K1402">
        <v>29.92</v>
      </c>
    </row>
    <row r="1403" spans="1:11">
      <c r="A1403">
        <v>0.23519999999999999</v>
      </c>
      <c r="B1403">
        <v>7.5999999999999998E-2</v>
      </c>
      <c r="C1403">
        <v>8.6199999999999999E-2</v>
      </c>
      <c r="D1403">
        <v>2.1299999999999999E-2</v>
      </c>
      <c r="E1403">
        <v>0.15609999999999999</v>
      </c>
      <c r="F1403">
        <v>0.42530000000000001</v>
      </c>
      <c r="G1403">
        <v>120</v>
      </c>
      <c r="H1403">
        <v>190</v>
      </c>
      <c r="I1403">
        <v>45</v>
      </c>
      <c r="J1403">
        <v>2</v>
      </c>
      <c r="K1403">
        <v>28.224</v>
      </c>
    </row>
    <row r="1404" spans="1:11">
      <c r="A1404">
        <v>0.51339999999999997</v>
      </c>
      <c r="B1404">
        <v>8.3699999999999997E-2</v>
      </c>
      <c r="C1404">
        <v>4.19E-2</v>
      </c>
      <c r="D1404">
        <v>0.25790000000000002</v>
      </c>
      <c r="E1404">
        <v>6.7000000000000004E-2</v>
      </c>
      <c r="F1404">
        <v>3.61E-2</v>
      </c>
      <c r="G1404">
        <v>60</v>
      </c>
      <c r="H1404">
        <v>30</v>
      </c>
      <c r="I1404">
        <v>20</v>
      </c>
      <c r="J1404">
        <v>1</v>
      </c>
      <c r="K1404">
        <v>30.803999999999998</v>
      </c>
    </row>
    <row r="1405" spans="1:11">
      <c r="A1405">
        <v>0.19159999999999999</v>
      </c>
      <c r="B1405">
        <v>5.4600000000000003E-2</v>
      </c>
      <c r="C1405">
        <v>0.17649999999999999</v>
      </c>
      <c r="D1405">
        <v>2.01E-2</v>
      </c>
      <c r="E1405">
        <v>0.16789999999999999</v>
      </c>
      <c r="F1405">
        <v>0.38940000000000002</v>
      </c>
      <c r="G1405">
        <v>120</v>
      </c>
      <c r="H1405">
        <v>240</v>
      </c>
      <c r="I1405">
        <v>36</v>
      </c>
      <c r="J1405">
        <v>2</v>
      </c>
      <c r="K1405">
        <v>22.992000000000001</v>
      </c>
    </row>
    <row r="1406" spans="1:11">
      <c r="A1406">
        <v>0.1903</v>
      </c>
      <c r="B1406">
        <v>6.5799999999999997E-2</v>
      </c>
      <c r="C1406">
        <v>9.2499999999999999E-2</v>
      </c>
      <c r="D1406">
        <v>7.7999999999999996E-3</v>
      </c>
      <c r="E1406">
        <v>0.35849999999999999</v>
      </c>
      <c r="F1406">
        <v>0.28499999999999998</v>
      </c>
      <c r="G1406">
        <v>70</v>
      </c>
      <c r="H1406">
        <v>170</v>
      </c>
      <c r="I1406">
        <v>40</v>
      </c>
      <c r="J1406">
        <v>2</v>
      </c>
      <c r="K1406">
        <v>13.321</v>
      </c>
    </row>
    <row r="1407" spans="1:11">
      <c r="A1407">
        <v>0.14549999999999999</v>
      </c>
      <c r="B1407">
        <v>4.2599999999999999E-2</v>
      </c>
      <c r="C1407">
        <v>0.4824</v>
      </c>
      <c r="D1407">
        <v>0</v>
      </c>
      <c r="E1407">
        <v>3.8899999999999997E-2</v>
      </c>
      <c r="F1407">
        <v>0.29060000000000002</v>
      </c>
      <c r="G1407">
        <v>200</v>
      </c>
      <c r="H1407">
        <v>170</v>
      </c>
      <c r="I1407">
        <v>33</v>
      </c>
      <c r="J1407">
        <v>2</v>
      </c>
      <c r="K1407">
        <v>29.1</v>
      </c>
    </row>
    <row r="1408" spans="1:11">
      <c r="A1408">
        <v>0.4264</v>
      </c>
      <c r="B1408">
        <v>0.104</v>
      </c>
      <c r="C1408">
        <v>3.3999999999999998E-3</v>
      </c>
      <c r="D1408">
        <v>3.5499999999999997E-2</v>
      </c>
      <c r="E1408">
        <v>0.124</v>
      </c>
      <c r="F1408">
        <v>0.30680000000000002</v>
      </c>
      <c r="G1408">
        <v>60</v>
      </c>
      <c r="H1408">
        <v>70</v>
      </c>
      <c r="I1408">
        <v>29</v>
      </c>
      <c r="J1408">
        <v>2</v>
      </c>
      <c r="K1408">
        <v>25.584</v>
      </c>
    </row>
    <row r="1409" spans="1:11">
      <c r="A1409">
        <v>0.49480000000000002</v>
      </c>
      <c r="B1409">
        <v>8.77E-2</v>
      </c>
      <c r="C1409">
        <v>0.1255</v>
      </c>
      <c r="D1409">
        <v>9.0399999999999994E-2</v>
      </c>
      <c r="E1409">
        <v>8.6E-3</v>
      </c>
      <c r="F1409">
        <v>0.19289999999999999</v>
      </c>
      <c r="G1409">
        <v>60</v>
      </c>
      <c r="H1409">
        <v>130</v>
      </c>
      <c r="I1409">
        <v>27</v>
      </c>
      <c r="J1409">
        <v>1</v>
      </c>
      <c r="K1409">
        <v>29.687999999999999</v>
      </c>
    </row>
    <row r="1410" spans="1:11">
      <c r="A1410">
        <v>0.49630000000000002</v>
      </c>
      <c r="B1410">
        <v>8.6900000000000005E-2</v>
      </c>
      <c r="C1410">
        <v>4.4000000000000003E-3</v>
      </c>
      <c r="D1410">
        <v>9.4600000000000004E-2</v>
      </c>
      <c r="E1410">
        <v>4.3999999999999997E-2</v>
      </c>
      <c r="F1410">
        <v>0.27379999999999999</v>
      </c>
      <c r="G1410">
        <v>50</v>
      </c>
      <c r="H1410">
        <v>60</v>
      </c>
      <c r="I1410">
        <v>39</v>
      </c>
      <c r="J1410">
        <v>1</v>
      </c>
      <c r="K1410">
        <v>24.815000000000001</v>
      </c>
    </row>
    <row r="1411" spans="1:11">
      <c r="A1411">
        <v>0.42480000000000001</v>
      </c>
      <c r="B1411">
        <v>7.2400000000000006E-2</v>
      </c>
      <c r="C1411">
        <v>0.19520000000000001</v>
      </c>
      <c r="D1411">
        <v>0.03</v>
      </c>
      <c r="E1411">
        <v>2.7E-2</v>
      </c>
      <c r="F1411">
        <v>0.25059999999999999</v>
      </c>
      <c r="G1411">
        <v>80</v>
      </c>
      <c r="H1411">
        <v>200</v>
      </c>
      <c r="I1411">
        <v>33</v>
      </c>
      <c r="J1411">
        <v>1</v>
      </c>
      <c r="K1411">
        <v>33.984000000000002</v>
      </c>
    </row>
    <row r="1412" spans="1:11">
      <c r="A1412">
        <v>0.36359999999999998</v>
      </c>
      <c r="B1412">
        <v>5.5100000000000003E-2</v>
      </c>
      <c r="C1412">
        <v>5.3800000000000001E-2</v>
      </c>
      <c r="D1412">
        <v>0.10299999999999999</v>
      </c>
      <c r="E1412">
        <v>0.21149999999999999</v>
      </c>
      <c r="F1412">
        <v>0.21279999999999999</v>
      </c>
      <c r="G1412">
        <v>90</v>
      </c>
      <c r="H1412">
        <v>100</v>
      </c>
      <c r="I1412">
        <v>38</v>
      </c>
      <c r="J1412">
        <v>2</v>
      </c>
      <c r="K1412">
        <v>32.723999999999997</v>
      </c>
    </row>
    <row r="1413" spans="1:11">
      <c r="A1413">
        <v>0.3997</v>
      </c>
      <c r="B1413">
        <v>6.9699999999999998E-2</v>
      </c>
      <c r="C1413">
        <v>9.0999999999999998E-2</v>
      </c>
      <c r="D1413">
        <v>3.6600000000000001E-2</v>
      </c>
      <c r="E1413">
        <v>9.5999999999999992E-3</v>
      </c>
      <c r="F1413">
        <v>0.39340000000000003</v>
      </c>
      <c r="G1413">
        <v>60</v>
      </c>
      <c r="H1413">
        <v>100</v>
      </c>
      <c r="I1413">
        <v>32</v>
      </c>
      <c r="J1413">
        <v>2</v>
      </c>
      <c r="K1413">
        <v>23.981999999999999</v>
      </c>
    </row>
    <row r="1414" spans="1:11">
      <c r="A1414">
        <v>0.2145</v>
      </c>
      <c r="B1414">
        <v>5.2499999999999998E-2</v>
      </c>
      <c r="C1414">
        <v>0.24299999999999999</v>
      </c>
      <c r="D1414">
        <v>2.3300000000000001E-2</v>
      </c>
      <c r="E1414">
        <v>0.12189999999999999</v>
      </c>
      <c r="F1414">
        <v>0.34470000000000001</v>
      </c>
      <c r="G1414">
        <v>210</v>
      </c>
      <c r="H1414">
        <v>250</v>
      </c>
      <c r="I1414">
        <v>35</v>
      </c>
      <c r="J1414">
        <v>1</v>
      </c>
      <c r="K1414">
        <v>45.045000000000002</v>
      </c>
    </row>
    <row r="1415" spans="1:11">
      <c r="A1415">
        <v>0.21460000000000001</v>
      </c>
      <c r="B1415">
        <v>0.10340000000000001</v>
      </c>
      <c r="C1415">
        <v>4.5499999999999999E-2</v>
      </c>
      <c r="D1415">
        <v>0.26140000000000002</v>
      </c>
      <c r="E1415">
        <v>0.11509999999999999</v>
      </c>
      <c r="F1415">
        <v>0.26</v>
      </c>
      <c r="G1415">
        <v>90</v>
      </c>
      <c r="H1415">
        <v>120</v>
      </c>
      <c r="I1415">
        <v>26</v>
      </c>
      <c r="J1415">
        <v>2</v>
      </c>
      <c r="K1415">
        <v>19.314</v>
      </c>
    </row>
    <row r="1416" spans="1:11">
      <c r="A1416">
        <v>0.20100000000000001</v>
      </c>
      <c r="B1416">
        <v>8.4599999999999995E-2</v>
      </c>
      <c r="C1416">
        <v>0.14099999999999999</v>
      </c>
      <c r="D1416">
        <v>1.2999999999999999E-2</v>
      </c>
      <c r="E1416">
        <v>5.2900000000000003E-2</v>
      </c>
      <c r="F1416">
        <v>0.50739999999999996</v>
      </c>
      <c r="G1416">
        <v>190</v>
      </c>
      <c r="H1416">
        <v>270</v>
      </c>
      <c r="I1416">
        <v>37</v>
      </c>
      <c r="J1416">
        <v>2</v>
      </c>
      <c r="K1416">
        <v>38.19</v>
      </c>
    </row>
    <row r="1417" spans="1:11">
      <c r="A1417">
        <v>0.29730000000000001</v>
      </c>
      <c r="B1417">
        <v>5.7200000000000001E-2</v>
      </c>
      <c r="C1417">
        <v>0.1804</v>
      </c>
      <c r="D1417">
        <v>6.1999999999999998E-3</v>
      </c>
      <c r="E1417">
        <v>3.2099999999999997E-2</v>
      </c>
      <c r="F1417">
        <v>0.42680000000000001</v>
      </c>
      <c r="G1417">
        <v>110</v>
      </c>
      <c r="H1417">
        <v>250</v>
      </c>
      <c r="I1417">
        <v>38</v>
      </c>
      <c r="J1417">
        <v>2</v>
      </c>
      <c r="K1417">
        <v>32.703000000000003</v>
      </c>
    </row>
    <row r="1418" spans="1:11">
      <c r="A1418">
        <v>8.5400000000000004E-2</v>
      </c>
      <c r="B1418">
        <v>1.47E-2</v>
      </c>
      <c r="C1418">
        <v>7.1400000000000005E-2</v>
      </c>
      <c r="D1418">
        <v>1.4999999999999999E-2</v>
      </c>
      <c r="E1418">
        <v>0.5948</v>
      </c>
      <c r="F1418">
        <v>0.21879999999999999</v>
      </c>
      <c r="G1418">
        <v>320</v>
      </c>
      <c r="H1418">
        <v>160</v>
      </c>
      <c r="I1418">
        <v>33</v>
      </c>
      <c r="J1418">
        <v>2</v>
      </c>
      <c r="K1418">
        <v>27.327999999999999</v>
      </c>
    </row>
    <row r="1419" spans="1:11">
      <c r="A1419">
        <v>0.30320000000000003</v>
      </c>
      <c r="B1419">
        <v>9.8500000000000004E-2</v>
      </c>
      <c r="C1419">
        <v>0.18579999999999999</v>
      </c>
      <c r="D1419">
        <v>0</v>
      </c>
      <c r="E1419">
        <v>0.1023</v>
      </c>
      <c r="F1419">
        <v>0.31019999999999998</v>
      </c>
      <c r="G1419">
        <v>100</v>
      </c>
      <c r="H1419">
        <v>420</v>
      </c>
      <c r="I1419">
        <v>36</v>
      </c>
      <c r="J1419">
        <v>1</v>
      </c>
      <c r="K1419">
        <v>30.32</v>
      </c>
    </row>
    <row r="1420" spans="1:11">
      <c r="A1420">
        <v>0.41549999999999998</v>
      </c>
      <c r="B1420">
        <v>7.3499999999999996E-2</v>
      </c>
      <c r="C1420">
        <v>2.8899999999999999E-2</v>
      </c>
      <c r="D1420">
        <v>0.1249</v>
      </c>
      <c r="E1420">
        <v>9.06E-2</v>
      </c>
      <c r="F1420">
        <v>0.2666</v>
      </c>
      <c r="G1420">
        <v>100</v>
      </c>
      <c r="H1420">
        <v>130</v>
      </c>
      <c r="I1420">
        <v>39</v>
      </c>
      <c r="J1420">
        <v>2</v>
      </c>
      <c r="K1420">
        <v>41.55</v>
      </c>
    </row>
    <row r="1421" spans="1:11">
      <c r="A1421">
        <v>0.33789999999999998</v>
      </c>
      <c r="B1421">
        <v>9.4600000000000004E-2</v>
      </c>
      <c r="C1421">
        <v>0.16889999999999999</v>
      </c>
      <c r="D1421">
        <v>1.3599999999999999E-2</v>
      </c>
      <c r="E1421">
        <v>9.5500000000000002E-2</v>
      </c>
      <c r="F1421">
        <v>0.28939999999999999</v>
      </c>
      <c r="G1421">
        <v>90</v>
      </c>
      <c r="H1421">
        <v>130</v>
      </c>
      <c r="I1421">
        <v>55</v>
      </c>
      <c r="J1421">
        <v>1</v>
      </c>
      <c r="K1421">
        <v>30.411000000000001</v>
      </c>
    </row>
    <row r="1422" spans="1:11">
      <c r="A1422">
        <v>0.33939999999999998</v>
      </c>
      <c r="B1422">
        <v>7.2800000000000004E-2</v>
      </c>
      <c r="C1422">
        <v>0.17119999999999999</v>
      </c>
      <c r="D1422">
        <v>3.61E-2</v>
      </c>
      <c r="E1422">
        <v>4.7E-2</v>
      </c>
      <c r="F1422">
        <v>0.33350000000000002</v>
      </c>
      <c r="G1422">
        <v>80</v>
      </c>
      <c r="H1422">
        <v>90</v>
      </c>
      <c r="I1422">
        <v>29</v>
      </c>
      <c r="J1422">
        <v>1</v>
      </c>
      <c r="K1422">
        <v>27.152000000000001</v>
      </c>
    </row>
    <row r="1423" spans="1:11">
      <c r="A1423">
        <v>0.47970000000000002</v>
      </c>
      <c r="B1423">
        <v>7.9699999999999993E-2</v>
      </c>
      <c r="C1423">
        <v>0</v>
      </c>
      <c r="D1423">
        <v>3.27E-2</v>
      </c>
      <c r="E1423">
        <v>9.64E-2</v>
      </c>
      <c r="F1423">
        <v>0.3115</v>
      </c>
      <c r="G1423">
        <v>70</v>
      </c>
      <c r="H1423">
        <v>110</v>
      </c>
      <c r="I1423">
        <v>31</v>
      </c>
      <c r="J1423">
        <v>2</v>
      </c>
      <c r="K1423">
        <v>33.579000000000001</v>
      </c>
    </row>
    <row r="1424" spans="1:11">
      <c r="A1424">
        <v>0.31879999999999997</v>
      </c>
      <c r="B1424">
        <v>5.0700000000000002E-2</v>
      </c>
      <c r="C1424">
        <v>5.7599999999999998E-2</v>
      </c>
      <c r="D1424">
        <v>0</v>
      </c>
      <c r="E1424">
        <v>0.42909999999999998</v>
      </c>
      <c r="F1424">
        <v>0.14380000000000001</v>
      </c>
      <c r="G1424">
        <v>90</v>
      </c>
      <c r="H1424">
        <v>100</v>
      </c>
      <c r="I1424">
        <v>43</v>
      </c>
      <c r="J1424">
        <v>1</v>
      </c>
      <c r="K1424">
        <v>28.692</v>
      </c>
    </row>
    <row r="1425" spans="1:11">
      <c r="A1425">
        <v>0.4093</v>
      </c>
      <c r="B1425">
        <v>8.6300000000000002E-2</v>
      </c>
      <c r="C1425">
        <v>0.20030000000000001</v>
      </c>
      <c r="D1425">
        <v>4.8800000000000003E-2</v>
      </c>
      <c r="E1425">
        <v>8.4599999999999995E-2</v>
      </c>
      <c r="F1425">
        <v>0.17069999999999999</v>
      </c>
      <c r="G1425">
        <v>140</v>
      </c>
      <c r="H1425">
        <v>170</v>
      </c>
      <c r="I1425">
        <v>44</v>
      </c>
      <c r="J1425">
        <v>2</v>
      </c>
      <c r="K1425">
        <v>57.302</v>
      </c>
    </row>
    <row r="1426" spans="1:11">
      <c r="A1426">
        <v>0.37540000000000001</v>
      </c>
      <c r="B1426">
        <v>9.1399999999999995E-2</v>
      </c>
      <c r="C1426">
        <v>3.9600000000000003E-2</v>
      </c>
      <c r="D1426">
        <v>0.11020000000000001</v>
      </c>
      <c r="E1426">
        <v>0.11020000000000001</v>
      </c>
      <c r="F1426">
        <v>0.27310000000000001</v>
      </c>
      <c r="G1426">
        <v>60</v>
      </c>
      <c r="H1426">
        <v>110</v>
      </c>
      <c r="I1426">
        <v>31</v>
      </c>
      <c r="J1426">
        <v>2</v>
      </c>
      <c r="K1426">
        <v>22.524000000000001</v>
      </c>
    </row>
    <row r="1427" spans="1:11">
      <c r="A1427">
        <v>0.32729999999999998</v>
      </c>
      <c r="B1427">
        <v>4.99E-2</v>
      </c>
      <c r="C1427">
        <v>0.1115</v>
      </c>
      <c r="D1427">
        <v>5.8900000000000001E-2</v>
      </c>
      <c r="E1427">
        <v>0.1191</v>
      </c>
      <c r="F1427">
        <v>0.33329999999999999</v>
      </c>
      <c r="G1427">
        <v>120</v>
      </c>
      <c r="H1427">
        <v>170</v>
      </c>
      <c r="I1427">
        <v>23</v>
      </c>
      <c r="J1427">
        <v>1</v>
      </c>
      <c r="K1427">
        <v>39.276000000000003</v>
      </c>
    </row>
    <row r="1428" spans="1:11">
      <c r="A1428">
        <v>0.49709999999999999</v>
      </c>
      <c r="B1428">
        <v>5.1200000000000002E-2</v>
      </c>
      <c r="C1428">
        <v>1.67E-2</v>
      </c>
      <c r="D1428">
        <v>6.2899999999999998E-2</v>
      </c>
      <c r="E1428">
        <v>7.5700000000000003E-2</v>
      </c>
      <c r="F1428">
        <v>0.2964</v>
      </c>
      <c r="G1428">
        <v>80</v>
      </c>
      <c r="H1428">
        <v>120</v>
      </c>
      <c r="I1428">
        <v>40</v>
      </c>
      <c r="J1428">
        <v>1</v>
      </c>
      <c r="K1428">
        <v>39.768000000000001</v>
      </c>
    </row>
    <row r="1429" spans="1:11">
      <c r="A1429">
        <v>0.30449999999999999</v>
      </c>
      <c r="B1429">
        <v>9.4500000000000001E-2</v>
      </c>
      <c r="C1429">
        <v>0.1045</v>
      </c>
      <c r="D1429">
        <v>0.11</v>
      </c>
      <c r="E1429">
        <v>5.8700000000000002E-2</v>
      </c>
      <c r="F1429">
        <v>0.32769999999999999</v>
      </c>
      <c r="G1429">
        <v>110</v>
      </c>
      <c r="H1429">
        <v>180</v>
      </c>
      <c r="I1429">
        <v>44</v>
      </c>
      <c r="J1429">
        <v>2</v>
      </c>
      <c r="K1429">
        <v>33.494999999999997</v>
      </c>
    </row>
    <row r="1430" spans="1:11">
      <c r="A1430">
        <v>0.43840000000000001</v>
      </c>
      <c r="B1430">
        <v>6.9500000000000006E-2</v>
      </c>
      <c r="C1430">
        <v>3.4099999999999998E-2</v>
      </c>
      <c r="D1430">
        <v>0</v>
      </c>
      <c r="E1430">
        <v>9.4600000000000004E-2</v>
      </c>
      <c r="F1430">
        <v>0.36330000000000001</v>
      </c>
      <c r="G1430">
        <v>100</v>
      </c>
      <c r="H1430">
        <v>160</v>
      </c>
      <c r="I1430">
        <v>38</v>
      </c>
      <c r="J1430">
        <v>2</v>
      </c>
      <c r="K1430">
        <v>43.84</v>
      </c>
    </row>
    <row r="1431" spans="1:11">
      <c r="A1431">
        <v>0.28960000000000002</v>
      </c>
      <c r="B1431">
        <v>6.2600000000000003E-2</v>
      </c>
      <c r="C1431">
        <v>0</v>
      </c>
      <c r="D1431">
        <v>0.1273</v>
      </c>
      <c r="E1431">
        <v>0.28770000000000001</v>
      </c>
      <c r="F1431">
        <v>0.23280000000000001</v>
      </c>
      <c r="G1431">
        <v>100</v>
      </c>
      <c r="H1431">
        <v>180</v>
      </c>
      <c r="I1431">
        <v>52</v>
      </c>
      <c r="J1431">
        <v>1</v>
      </c>
      <c r="K1431">
        <v>28.96</v>
      </c>
    </row>
    <row r="1432" spans="1:11">
      <c r="A1432">
        <v>0.40510000000000002</v>
      </c>
      <c r="B1432">
        <v>6.5000000000000002E-2</v>
      </c>
      <c r="C1432">
        <v>0.1231</v>
      </c>
      <c r="D1432">
        <v>1.5100000000000001E-2</v>
      </c>
      <c r="E1432">
        <v>8.2799999999999999E-2</v>
      </c>
      <c r="F1432">
        <v>0.30890000000000001</v>
      </c>
      <c r="G1432">
        <v>90</v>
      </c>
      <c r="H1432">
        <v>140</v>
      </c>
      <c r="I1432">
        <v>33</v>
      </c>
      <c r="J1432">
        <v>2</v>
      </c>
      <c r="K1432">
        <v>36.459000000000003</v>
      </c>
    </row>
    <row r="1433" spans="1:11">
      <c r="A1433">
        <v>0.34699999999999998</v>
      </c>
      <c r="B1433">
        <v>0.22070000000000001</v>
      </c>
      <c r="C1433">
        <v>5.0599999999999999E-2</v>
      </c>
      <c r="D1433">
        <v>0.1343</v>
      </c>
      <c r="E1433">
        <v>5.7500000000000002E-2</v>
      </c>
      <c r="F1433">
        <v>0.18990000000000001</v>
      </c>
      <c r="G1433">
        <v>70</v>
      </c>
      <c r="H1433">
        <v>170</v>
      </c>
      <c r="I1433">
        <v>29</v>
      </c>
      <c r="J1433">
        <v>1</v>
      </c>
      <c r="K1433">
        <v>24.29</v>
      </c>
    </row>
    <row r="1434" spans="1:11">
      <c r="A1434">
        <v>0.23749999999999999</v>
      </c>
      <c r="B1434">
        <v>3.5700000000000003E-2</v>
      </c>
      <c r="C1434">
        <v>0.1288</v>
      </c>
      <c r="D1434">
        <v>7.3899999999999993E-2</v>
      </c>
      <c r="E1434">
        <v>7.9100000000000004E-2</v>
      </c>
      <c r="F1434">
        <v>0.44490000000000002</v>
      </c>
      <c r="G1434">
        <v>140</v>
      </c>
      <c r="H1434">
        <v>250</v>
      </c>
      <c r="I1434">
        <v>36</v>
      </c>
      <c r="J1434">
        <v>2</v>
      </c>
      <c r="K1434">
        <v>33.25</v>
      </c>
    </row>
    <row r="1435" spans="1:11">
      <c r="A1435">
        <v>0.2243</v>
      </c>
      <c r="B1435">
        <v>2.9499999999999998E-2</v>
      </c>
      <c r="C1435">
        <v>0.38729999999999998</v>
      </c>
      <c r="D1435">
        <v>0</v>
      </c>
      <c r="E1435">
        <v>0.18149999999999999</v>
      </c>
      <c r="F1435">
        <v>0.17730000000000001</v>
      </c>
      <c r="G1435">
        <v>180</v>
      </c>
      <c r="H1435">
        <v>110</v>
      </c>
      <c r="I1435">
        <v>31</v>
      </c>
      <c r="J1435">
        <v>2</v>
      </c>
      <c r="K1435">
        <v>40.374000000000002</v>
      </c>
    </row>
    <row r="1436" spans="1:11">
      <c r="A1436">
        <v>0.4476</v>
      </c>
      <c r="B1436">
        <v>0.1014</v>
      </c>
      <c r="C1436">
        <v>0.23350000000000001</v>
      </c>
      <c r="D1436">
        <v>3.8E-3</v>
      </c>
      <c r="E1436">
        <v>1.9800000000000002E-2</v>
      </c>
      <c r="F1436">
        <v>0.1938</v>
      </c>
      <c r="G1436">
        <v>160</v>
      </c>
      <c r="H1436">
        <v>230</v>
      </c>
      <c r="I1436">
        <v>43</v>
      </c>
      <c r="J1436">
        <v>2</v>
      </c>
      <c r="K1436">
        <v>71.616</v>
      </c>
    </row>
    <row r="1437" spans="1:11">
      <c r="A1437">
        <v>0.35520000000000002</v>
      </c>
      <c r="B1437">
        <v>6.5600000000000006E-2</v>
      </c>
      <c r="C1437">
        <v>7.1900000000000006E-2</v>
      </c>
      <c r="D1437">
        <v>7.4499999999999997E-2</v>
      </c>
      <c r="E1437">
        <v>0.18790000000000001</v>
      </c>
      <c r="F1437">
        <v>0.24490000000000001</v>
      </c>
      <c r="G1437">
        <v>70</v>
      </c>
      <c r="H1437">
        <v>120</v>
      </c>
      <c r="I1437">
        <v>43</v>
      </c>
      <c r="J1437">
        <v>1</v>
      </c>
      <c r="K1437">
        <v>24.864000000000001</v>
      </c>
    </row>
    <row r="1438" spans="1:11">
      <c r="A1438">
        <v>0.25659999999999999</v>
      </c>
      <c r="B1438">
        <v>2.8299999999999999E-2</v>
      </c>
      <c r="C1438">
        <v>0.2019</v>
      </c>
      <c r="D1438">
        <v>6.4199999999999993E-2</v>
      </c>
      <c r="E1438">
        <v>4.7199999999999999E-2</v>
      </c>
      <c r="F1438">
        <v>0.4017</v>
      </c>
      <c r="G1438">
        <v>240</v>
      </c>
      <c r="H1438">
        <v>120</v>
      </c>
      <c r="I1438">
        <v>45</v>
      </c>
      <c r="J1438">
        <v>1</v>
      </c>
      <c r="K1438">
        <v>61.584000000000003</v>
      </c>
    </row>
    <row r="1439" spans="1:11">
      <c r="A1439">
        <v>0.22789999999999999</v>
      </c>
      <c r="B1439">
        <v>3.9899999999999998E-2</v>
      </c>
      <c r="C1439">
        <v>0.36009999999999998</v>
      </c>
      <c r="D1439">
        <v>3.6200000000000003E-2</v>
      </c>
      <c r="E1439">
        <v>0.21479999999999999</v>
      </c>
      <c r="F1439">
        <v>0.1212</v>
      </c>
      <c r="G1439">
        <v>90</v>
      </c>
      <c r="H1439">
        <v>200</v>
      </c>
      <c r="I1439">
        <v>33</v>
      </c>
      <c r="J1439">
        <v>2</v>
      </c>
      <c r="K1439">
        <v>20.510999999999999</v>
      </c>
    </row>
    <row r="1440" spans="1:11">
      <c r="A1440">
        <v>0.34260000000000002</v>
      </c>
      <c r="B1440">
        <v>5.4300000000000001E-2</v>
      </c>
      <c r="C1440">
        <v>0.10150000000000001</v>
      </c>
      <c r="D1440">
        <v>3.4700000000000002E-2</v>
      </c>
      <c r="E1440">
        <v>0.1706</v>
      </c>
      <c r="F1440">
        <v>0.29630000000000001</v>
      </c>
      <c r="G1440">
        <v>110</v>
      </c>
      <c r="H1440">
        <v>130</v>
      </c>
      <c r="I1440">
        <v>34</v>
      </c>
      <c r="J1440">
        <v>1</v>
      </c>
      <c r="K1440">
        <v>37.686</v>
      </c>
    </row>
    <row r="1441" spans="1:11">
      <c r="A1441">
        <v>0.35510000000000003</v>
      </c>
      <c r="B1441">
        <v>4.4299999999999999E-2</v>
      </c>
      <c r="C1441">
        <v>6.5500000000000003E-2</v>
      </c>
      <c r="D1441">
        <v>7.7899999999999997E-2</v>
      </c>
      <c r="E1441">
        <v>0.3125</v>
      </c>
      <c r="F1441">
        <v>0.14480000000000001</v>
      </c>
      <c r="G1441">
        <v>160</v>
      </c>
      <c r="H1441">
        <v>220</v>
      </c>
      <c r="I1441">
        <v>33</v>
      </c>
      <c r="J1441">
        <v>2</v>
      </c>
      <c r="K1441">
        <v>56.816000000000003</v>
      </c>
    </row>
    <row r="1442" spans="1:11">
      <c r="A1442">
        <v>0.2722</v>
      </c>
      <c r="B1442">
        <v>0.19980000000000001</v>
      </c>
      <c r="C1442">
        <v>0.18559999999999999</v>
      </c>
      <c r="D1442">
        <v>7.6E-3</v>
      </c>
      <c r="E1442">
        <v>9.1000000000000004E-3</v>
      </c>
      <c r="F1442">
        <v>0.3256</v>
      </c>
      <c r="G1442">
        <v>100</v>
      </c>
      <c r="H1442">
        <v>120</v>
      </c>
      <c r="I1442">
        <v>37</v>
      </c>
      <c r="J1442">
        <v>2</v>
      </c>
      <c r="K1442">
        <v>27.22</v>
      </c>
    </row>
    <row r="1443" spans="1:11">
      <c r="A1443">
        <v>0.3906</v>
      </c>
      <c r="B1443">
        <v>0.12640000000000001</v>
      </c>
      <c r="C1443">
        <v>0</v>
      </c>
      <c r="D1443">
        <v>3.3000000000000002E-2</v>
      </c>
      <c r="E1443">
        <v>0.2014</v>
      </c>
      <c r="F1443">
        <v>0.24859999999999999</v>
      </c>
      <c r="G1443">
        <v>100</v>
      </c>
      <c r="H1443">
        <v>120</v>
      </c>
      <c r="I1443">
        <v>39</v>
      </c>
      <c r="J1443">
        <v>2</v>
      </c>
      <c r="K1443">
        <v>39.06</v>
      </c>
    </row>
    <row r="1444" spans="1:11">
      <c r="A1444">
        <v>0.43480000000000002</v>
      </c>
      <c r="B1444">
        <v>0.14230000000000001</v>
      </c>
      <c r="C1444">
        <v>1.0699999999999999E-2</v>
      </c>
      <c r="D1444">
        <v>0.1132</v>
      </c>
      <c r="E1444">
        <v>0.11849999999999999</v>
      </c>
      <c r="F1444">
        <v>0.18049999999999999</v>
      </c>
      <c r="G1444">
        <v>80</v>
      </c>
      <c r="H1444">
        <v>80</v>
      </c>
      <c r="I1444">
        <v>25</v>
      </c>
      <c r="J1444">
        <v>2</v>
      </c>
      <c r="K1444">
        <v>34.783999999999999</v>
      </c>
    </row>
    <row r="1445" spans="1:11">
      <c r="A1445">
        <v>0.26929999999999998</v>
      </c>
      <c r="B1445">
        <v>7.7299999999999994E-2</v>
      </c>
      <c r="C1445">
        <v>0.2918</v>
      </c>
      <c r="D1445">
        <v>5.5999999999999999E-3</v>
      </c>
      <c r="E1445">
        <v>0.04</v>
      </c>
      <c r="F1445">
        <v>0.31590000000000001</v>
      </c>
      <c r="G1445">
        <v>90</v>
      </c>
      <c r="H1445">
        <v>150</v>
      </c>
      <c r="I1445">
        <v>40</v>
      </c>
      <c r="J1445">
        <v>2</v>
      </c>
      <c r="K1445">
        <v>24.236999999999998</v>
      </c>
    </row>
    <row r="1446" spans="1:11">
      <c r="A1446">
        <v>0.19650000000000001</v>
      </c>
      <c r="B1446">
        <v>8.7099999999999997E-2</v>
      </c>
      <c r="C1446">
        <v>9.9000000000000005E-2</v>
      </c>
      <c r="D1446">
        <v>9.5500000000000002E-2</v>
      </c>
      <c r="E1446">
        <v>0.14449999999999999</v>
      </c>
      <c r="F1446">
        <v>0.3775</v>
      </c>
      <c r="G1446">
        <v>200</v>
      </c>
      <c r="H1446">
        <v>330</v>
      </c>
      <c r="I1446">
        <v>55</v>
      </c>
      <c r="J1446">
        <v>2</v>
      </c>
      <c r="K1446">
        <v>39.299999999999997</v>
      </c>
    </row>
    <row r="1447" spans="1:11">
      <c r="A1447">
        <v>0.251</v>
      </c>
      <c r="B1447">
        <v>0.15129999999999999</v>
      </c>
      <c r="C1447">
        <v>9.7199999999999995E-2</v>
      </c>
      <c r="D1447">
        <v>5.8599999999999999E-2</v>
      </c>
      <c r="E1447">
        <v>0.1976</v>
      </c>
      <c r="F1447">
        <v>0.2442</v>
      </c>
      <c r="G1447">
        <v>80</v>
      </c>
      <c r="H1447">
        <v>100</v>
      </c>
      <c r="I1447">
        <v>32</v>
      </c>
      <c r="J1447">
        <v>2</v>
      </c>
      <c r="K1447">
        <v>20.079999999999998</v>
      </c>
    </row>
    <row r="1448" spans="1:11">
      <c r="A1448">
        <v>0.42680000000000001</v>
      </c>
      <c r="B1448">
        <v>4.9000000000000002E-2</v>
      </c>
      <c r="C1448">
        <v>0.1368</v>
      </c>
      <c r="D1448">
        <v>6.0000000000000001E-3</v>
      </c>
      <c r="E1448">
        <v>0.1792</v>
      </c>
      <c r="F1448">
        <v>0.20219999999999999</v>
      </c>
      <c r="G1448">
        <v>90</v>
      </c>
      <c r="H1448">
        <v>150</v>
      </c>
      <c r="I1448">
        <v>40</v>
      </c>
      <c r="J1448">
        <v>2</v>
      </c>
      <c r="K1448">
        <v>38.411999999999999</v>
      </c>
    </row>
    <row r="1449" spans="1:11">
      <c r="A1449">
        <v>0.31190000000000001</v>
      </c>
      <c r="B1449">
        <v>5.0299999999999997E-2</v>
      </c>
      <c r="C1449">
        <v>3.15E-2</v>
      </c>
      <c r="D1449">
        <v>5.4399999999999997E-2</v>
      </c>
      <c r="E1449">
        <v>0.1691</v>
      </c>
      <c r="F1449">
        <v>0.38290000000000002</v>
      </c>
      <c r="G1449">
        <v>120</v>
      </c>
      <c r="H1449">
        <v>190</v>
      </c>
      <c r="I1449">
        <v>46</v>
      </c>
      <c r="J1449">
        <v>1</v>
      </c>
      <c r="K1449">
        <v>37.427999999999997</v>
      </c>
    </row>
    <row r="1450" spans="1:11">
      <c r="A1450">
        <v>0.39379999999999998</v>
      </c>
      <c r="B1450">
        <v>4.1500000000000002E-2</v>
      </c>
      <c r="C1450">
        <v>0.14099999999999999</v>
      </c>
      <c r="D1450">
        <v>5.8500000000000003E-2</v>
      </c>
      <c r="E1450">
        <v>0.13589999999999999</v>
      </c>
      <c r="F1450">
        <v>0.2293</v>
      </c>
      <c r="G1450">
        <v>90</v>
      </c>
      <c r="H1450">
        <v>140</v>
      </c>
      <c r="I1450">
        <v>31</v>
      </c>
      <c r="J1450">
        <v>1</v>
      </c>
      <c r="K1450">
        <v>35.442</v>
      </c>
    </row>
    <row r="1451" spans="1:11">
      <c r="A1451">
        <v>0.21149999999999999</v>
      </c>
      <c r="B1451">
        <v>4.82E-2</v>
      </c>
      <c r="C1451">
        <v>0.37469999999999998</v>
      </c>
      <c r="D1451">
        <v>0.11070000000000001</v>
      </c>
      <c r="E1451">
        <v>6.3E-2</v>
      </c>
      <c r="F1451">
        <v>0.19189999999999999</v>
      </c>
      <c r="G1451">
        <v>110</v>
      </c>
      <c r="H1451">
        <v>140</v>
      </c>
      <c r="I1451">
        <v>31</v>
      </c>
      <c r="J1451">
        <v>1</v>
      </c>
      <c r="K1451">
        <v>23.265000000000001</v>
      </c>
    </row>
    <row r="1452" spans="1:11">
      <c r="A1452">
        <v>0.42949999999999999</v>
      </c>
      <c r="B1452">
        <v>0.1353</v>
      </c>
      <c r="C1452">
        <v>2.5000000000000001E-2</v>
      </c>
      <c r="D1452">
        <v>0.1104</v>
      </c>
      <c r="E1452">
        <v>9.8199999999999996E-2</v>
      </c>
      <c r="F1452">
        <v>0.20150000000000001</v>
      </c>
      <c r="G1452">
        <v>140</v>
      </c>
      <c r="H1452">
        <v>200</v>
      </c>
      <c r="I1452">
        <v>41</v>
      </c>
      <c r="J1452">
        <v>1</v>
      </c>
      <c r="K1452">
        <v>60.13</v>
      </c>
    </row>
    <row r="1453" spans="1:11">
      <c r="A1453">
        <v>0.34150000000000003</v>
      </c>
      <c r="B1453">
        <v>0.1008</v>
      </c>
      <c r="C1453">
        <v>6.7100000000000007E-2</v>
      </c>
      <c r="D1453">
        <v>5.5399999999999998E-2</v>
      </c>
      <c r="E1453">
        <v>0.13450000000000001</v>
      </c>
      <c r="F1453">
        <v>0.30070000000000002</v>
      </c>
      <c r="G1453">
        <v>60</v>
      </c>
      <c r="H1453">
        <v>160</v>
      </c>
      <c r="I1453">
        <v>32</v>
      </c>
      <c r="J1453">
        <v>2</v>
      </c>
      <c r="K1453">
        <v>20.49</v>
      </c>
    </row>
    <row r="1454" spans="1:11">
      <c r="A1454">
        <v>0.2382</v>
      </c>
      <c r="B1454">
        <v>8.77E-2</v>
      </c>
      <c r="C1454">
        <v>0.21529999999999999</v>
      </c>
      <c r="D1454">
        <v>0.10390000000000001</v>
      </c>
      <c r="E1454">
        <v>3.73E-2</v>
      </c>
      <c r="F1454">
        <v>0.31759999999999999</v>
      </c>
      <c r="G1454">
        <v>220</v>
      </c>
      <c r="H1454">
        <v>110</v>
      </c>
      <c r="I1454">
        <v>31</v>
      </c>
      <c r="J1454">
        <v>2</v>
      </c>
      <c r="K1454">
        <v>52.404000000000003</v>
      </c>
    </row>
    <row r="1455" spans="1:11">
      <c r="A1455">
        <v>0.4138</v>
      </c>
      <c r="B1455">
        <v>4.8500000000000001E-2</v>
      </c>
      <c r="C1455">
        <v>2.06E-2</v>
      </c>
      <c r="D1455">
        <v>6.7199999999999996E-2</v>
      </c>
      <c r="E1455">
        <v>0.1226</v>
      </c>
      <c r="F1455">
        <v>0.32729999999999998</v>
      </c>
      <c r="G1455">
        <v>160</v>
      </c>
      <c r="H1455">
        <v>150</v>
      </c>
      <c r="I1455">
        <v>39</v>
      </c>
      <c r="J1455">
        <v>2</v>
      </c>
      <c r="K1455">
        <v>66.207999999999998</v>
      </c>
    </row>
    <row r="1456" spans="1:11">
      <c r="A1456">
        <v>0.49230000000000002</v>
      </c>
      <c r="B1456">
        <v>7.8899999999999998E-2</v>
      </c>
      <c r="C1456">
        <v>1.9599999999999999E-2</v>
      </c>
      <c r="D1456">
        <v>2.75E-2</v>
      </c>
      <c r="E1456">
        <v>0.16200000000000001</v>
      </c>
      <c r="F1456">
        <v>0.21970000000000001</v>
      </c>
      <c r="G1456">
        <v>70</v>
      </c>
      <c r="H1456">
        <v>170</v>
      </c>
      <c r="I1456">
        <v>35</v>
      </c>
      <c r="J1456">
        <v>2</v>
      </c>
      <c r="K1456">
        <v>34.460999999999999</v>
      </c>
    </row>
    <row r="1457" spans="1:11">
      <c r="A1457">
        <v>0.60389999999999999</v>
      </c>
      <c r="B1457">
        <v>0.1273</v>
      </c>
      <c r="C1457">
        <v>3.2000000000000001E-2</v>
      </c>
      <c r="D1457">
        <v>7.9000000000000008E-3</v>
      </c>
      <c r="E1457">
        <v>6.2600000000000003E-2</v>
      </c>
      <c r="F1457">
        <v>0.16619999999999999</v>
      </c>
      <c r="G1457">
        <v>50</v>
      </c>
      <c r="H1457">
        <v>130</v>
      </c>
      <c r="I1457">
        <v>31</v>
      </c>
      <c r="J1457">
        <v>2</v>
      </c>
      <c r="K1457">
        <v>30.195</v>
      </c>
    </row>
    <row r="1458" spans="1:11">
      <c r="A1458">
        <v>0.34960000000000002</v>
      </c>
      <c r="B1458">
        <v>0.1288</v>
      </c>
      <c r="C1458">
        <v>7.4499999999999997E-2</v>
      </c>
      <c r="D1458">
        <v>8.9399999999999993E-2</v>
      </c>
      <c r="E1458">
        <v>6.1199999999999997E-2</v>
      </c>
      <c r="F1458">
        <v>0.29659999999999997</v>
      </c>
      <c r="G1458">
        <v>80</v>
      </c>
      <c r="H1458">
        <v>110</v>
      </c>
      <c r="I1458">
        <v>34</v>
      </c>
      <c r="J1458">
        <v>2</v>
      </c>
      <c r="K1458">
        <v>27.968</v>
      </c>
    </row>
    <row r="1459" spans="1:11">
      <c r="A1459">
        <v>0.34389999999999998</v>
      </c>
      <c r="B1459">
        <v>0.15840000000000001</v>
      </c>
      <c r="C1459">
        <v>0.14649999999999999</v>
      </c>
      <c r="D1459">
        <v>4.7500000000000001E-2</v>
      </c>
      <c r="E1459">
        <v>2.6800000000000001E-2</v>
      </c>
      <c r="F1459">
        <v>0.27689999999999998</v>
      </c>
      <c r="G1459">
        <v>130</v>
      </c>
      <c r="H1459">
        <v>160</v>
      </c>
      <c r="I1459">
        <v>40</v>
      </c>
      <c r="J1459">
        <v>2</v>
      </c>
      <c r="K1459">
        <v>44.707000000000001</v>
      </c>
    </row>
    <row r="1460" spans="1:11">
      <c r="A1460">
        <v>0.26069999999999999</v>
      </c>
      <c r="B1460">
        <v>0.1343</v>
      </c>
      <c r="C1460">
        <v>0.19650000000000001</v>
      </c>
      <c r="D1460">
        <v>0</v>
      </c>
      <c r="E1460">
        <v>0.22650000000000001</v>
      </c>
      <c r="F1460">
        <v>0.18190000000000001</v>
      </c>
      <c r="G1460">
        <v>90</v>
      </c>
      <c r="H1460">
        <v>80</v>
      </c>
      <c r="I1460">
        <v>33</v>
      </c>
      <c r="J1460">
        <v>2</v>
      </c>
      <c r="K1460">
        <v>23.463000000000001</v>
      </c>
    </row>
    <row r="1461" spans="1:11">
      <c r="A1461">
        <v>0.2291</v>
      </c>
      <c r="B1461">
        <v>0.1244</v>
      </c>
      <c r="C1461">
        <v>0.12839999999999999</v>
      </c>
      <c r="D1461">
        <v>2.06E-2</v>
      </c>
      <c r="E1461">
        <v>0.27079999999999999</v>
      </c>
      <c r="F1461">
        <v>0.22670000000000001</v>
      </c>
      <c r="G1461">
        <v>90</v>
      </c>
      <c r="H1461">
        <v>160</v>
      </c>
      <c r="I1461">
        <v>46</v>
      </c>
      <c r="J1461">
        <v>1</v>
      </c>
      <c r="K1461">
        <v>20.619</v>
      </c>
    </row>
    <row r="1462" spans="1:11">
      <c r="A1462">
        <v>0.33050000000000002</v>
      </c>
      <c r="B1462">
        <v>5.0599999999999999E-2</v>
      </c>
      <c r="C1462">
        <v>0.13289999999999999</v>
      </c>
      <c r="D1462">
        <v>4.5100000000000001E-2</v>
      </c>
      <c r="E1462">
        <v>7.9299999999999995E-2</v>
      </c>
      <c r="F1462">
        <v>0.36149999999999999</v>
      </c>
      <c r="G1462">
        <v>90</v>
      </c>
      <c r="H1462">
        <v>90</v>
      </c>
      <c r="I1462">
        <v>35</v>
      </c>
      <c r="J1462">
        <v>2</v>
      </c>
      <c r="K1462">
        <v>29.745000000000001</v>
      </c>
    </row>
    <row r="1463" spans="1:11">
      <c r="A1463">
        <v>0.2737</v>
      </c>
      <c r="B1463">
        <v>6.9199999999999998E-2</v>
      </c>
      <c r="C1463">
        <v>0</v>
      </c>
      <c r="D1463">
        <v>6.5199999999999994E-2</v>
      </c>
      <c r="E1463">
        <v>0.21870000000000001</v>
      </c>
      <c r="F1463">
        <v>0.37319999999999998</v>
      </c>
      <c r="G1463">
        <v>110</v>
      </c>
      <c r="H1463">
        <v>180</v>
      </c>
      <c r="I1463">
        <v>41</v>
      </c>
      <c r="J1463">
        <v>2</v>
      </c>
      <c r="K1463">
        <v>30.106999999999999</v>
      </c>
    </row>
    <row r="1464" spans="1:11">
      <c r="A1464">
        <v>0.18740000000000001</v>
      </c>
      <c r="B1464">
        <v>0.12559999999999999</v>
      </c>
      <c r="C1464">
        <v>7.6399999999999996E-2</v>
      </c>
      <c r="D1464">
        <v>0</v>
      </c>
      <c r="E1464">
        <v>0.29470000000000002</v>
      </c>
      <c r="F1464">
        <v>0.31590000000000001</v>
      </c>
      <c r="G1464">
        <v>40</v>
      </c>
      <c r="H1464">
        <v>100</v>
      </c>
      <c r="I1464">
        <v>26</v>
      </c>
      <c r="J1464">
        <v>1</v>
      </c>
      <c r="K1464">
        <v>7.4960000000000004</v>
      </c>
    </row>
    <row r="1465" spans="1:11">
      <c r="A1465">
        <v>0.45150000000000001</v>
      </c>
      <c r="B1465">
        <v>0.05</v>
      </c>
      <c r="C1465">
        <v>2.8E-3</v>
      </c>
      <c r="D1465">
        <v>4.9200000000000001E-2</v>
      </c>
      <c r="E1465">
        <v>0.22500000000000001</v>
      </c>
      <c r="F1465">
        <v>0.2215</v>
      </c>
      <c r="G1465">
        <v>60</v>
      </c>
      <c r="H1465">
        <v>120</v>
      </c>
      <c r="I1465">
        <v>27</v>
      </c>
      <c r="J1465">
        <v>2</v>
      </c>
      <c r="K1465">
        <v>27.09</v>
      </c>
    </row>
    <row r="1466" spans="1:11">
      <c r="A1466">
        <v>0.45100000000000001</v>
      </c>
      <c r="B1466">
        <v>9.2399999999999996E-2</v>
      </c>
      <c r="C1466">
        <v>1.0500000000000001E-2</v>
      </c>
      <c r="D1466">
        <v>0.17849999999999999</v>
      </c>
      <c r="E1466">
        <v>7.7899999999999997E-2</v>
      </c>
      <c r="F1466">
        <v>0.18970000000000001</v>
      </c>
      <c r="G1466">
        <v>120</v>
      </c>
      <c r="H1466">
        <v>230</v>
      </c>
      <c r="I1466">
        <v>40</v>
      </c>
      <c r="J1466">
        <v>2</v>
      </c>
      <c r="K1466">
        <v>54.12</v>
      </c>
    </row>
    <row r="1467" spans="1:11">
      <c r="A1467">
        <v>0.2001</v>
      </c>
      <c r="B1467">
        <v>7.0099999999999996E-2</v>
      </c>
      <c r="C1467">
        <v>0.27629999999999999</v>
      </c>
      <c r="D1467">
        <v>3.1600000000000003E-2</v>
      </c>
      <c r="E1467">
        <v>0.12509999999999999</v>
      </c>
      <c r="F1467">
        <v>0.2969</v>
      </c>
      <c r="G1467">
        <v>120</v>
      </c>
      <c r="H1467">
        <v>120</v>
      </c>
      <c r="I1467">
        <v>34</v>
      </c>
      <c r="J1467">
        <v>1</v>
      </c>
      <c r="K1467">
        <v>24.012</v>
      </c>
    </row>
    <row r="1468" spans="1:11">
      <c r="A1468">
        <v>0.17799999999999999</v>
      </c>
      <c r="B1468">
        <v>0.17169999999999999</v>
      </c>
      <c r="C1468">
        <v>0</v>
      </c>
      <c r="D1468">
        <v>6.25E-2</v>
      </c>
      <c r="E1468">
        <v>0.34420000000000001</v>
      </c>
      <c r="F1468">
        <v>0.24360000000000001</v>
      </c>
      <c r="G1468">
        <v>90</v>
      </c>
      <c r="H1468">
        <v>140</v>
      </c>
      <c r="I1468">
        <v>34</v>
      </c>
      <c r="J1468">
        <v>1</v>
      </c>
      <c r="K1468">
        <v>16.02</v>
      </c>
    </row>
    <row r="1469" spans="1:11">
      <c r="A1469">
        <v>0.32740000000000002</v>
      </c>
      <c r="B1469">
        <v>8.5999999999999993E-2</v>
      </c>
      <c r="C1469">
        <v>0.1138</v>
      </c>
      <c r="D1469">
        <v>2.1399999999999999E-2</v>
      </c>
      <c r="E1469">
        <v>0.1608</v>
      </c>
      <c r="F1469">
        <v>0.29060000000000002</v>
      </c>
      <c r="G1469">
        <v>80</v>
      </c>
      <c r="H1469">
        <v>60</v>
      </c>
      <c r="I1469">
        <v>60</v>
      </c>
      <c r="J1469">
        <v>1</v>
      </c>
      <c r="K1469">
        <v>26.192</v>
      </c>
    </row>
    <row r="1470" spans="1:11">
      <c r="A1470">
        <v>0.40460000000000002</v>
      </c>
      <c r="B1470">
        <v>0.2903</v>
      </c>
      <c r="C1470">
        <v>1.09E-2</v>
      </c>
      <c r="D1470">
        <v>4.9200000000000001E-2</v>
      </c>
      <c r="E1470">
        <v>2.5999999999999999E-2</v>
      </c>
      <c r="F1470">
        <v>0.21909999999999999</v>
      </c>
      <c r="G1470">
        <v>60</v>
      </c>
      <c r="H1470">
        <v>40</v>
      </c>
      <c r="I1470">
        <v>19</v>
      </c>
      <c r="J1470">
        <v>1</v>
      </c>
      <c r="K1470">
        <v>24.276</v>
      </c>
    </row>
    <row r="1471" spans="1:11">
      <c r="A1471">
        <v>0.50519999999999998</v>
      </c>
      <c r="B1471">
        <v>0.13009999999999999</v>
      </c>
      <c r="C1471">
        <v>2.47E-2</v>
      </c>
      <c r="D1471">
        <v>7.3200000000000001E-2</v>
      </c>
      <c r="E1471">
        <v>1.12E-2</v>
      </c>
      <c r="F1471">
        <v>0.25559999999999999</v>
      </c>
      <c r="G1471">
        <v>60</v>
      </c>
      <c r="H1471">
        <v>120</v>
      </c>
      <c r="I1471">
        <v>30</v>
      </c>
      <c r="J1471">
        <v>2</v>
      </c>
      <c r="K1471">
        <v>30.312000000000001</v>
      </c>
    </row>
    <row r="1472" spans="1:11">
      <c r="A1472">
        <v>0.2944</v>
      </c>
      <c r="B1472">
        <v>6.5500000000000003E-2</v>
      </c>
      <c r="C1472">
        <v>3.3399999999999999E-2</v>
      </c>
      <c r="D1472">
        <v>3.2899999999999999E-2</v>
      </c>
      <c r="E1472">
        <v>0.40150000000000002</v>
      </c>
      <c r="F1472">
        <v>0.17219999999999999</v>
      </c>
      <c r="G1472">
        <v>70</v>
      </c>
      <c r="H1472">
        <v>100</v>
      </c>
      <c r="I1472">
        <v>29</v>
      </c>
      <c r="J1472">
        <v>2</v>
      </c>
      <c r="K1472">
        <v>20.608000000000001</v>
      </c>
    </row>
    <row r="1473" spans="1:11">
      <c r="A1473">
        <v>0.27500000000000002</v>
      </c>
      <c r="B1473">
        <v>8.3099999999999993E-2</v>
      </c>
      <c r="C1473">
        <v>0.1162</v>
      </c>
      <c r="D1473">
        <v>0.13500000000000001</v>
      </c>
      <c r="E1473">
        <v>0.12429999999999999</v>
      </c>
      <c r="F1473">
        <v>0.26650000000000001</v>
      </c>
      <c r="G1473">
        <v>120</v>
      </c>
      <c r="H1473">
        <v>130</v>
      </c>
      <c r="I1473">
        <v>42</v>
      </c>
      <c r="J1473">
        <v>1</v>
      </c>
      <c r="K1473">
        <v>33</v>
      </c>
    </row>
    <row r="1474" spans="1:11">
      <c r="A1474">
        <v>0.30199999999999999</v>
      </c>
      <c r="B1474">
        <v>0.1145</v>
      </c>
      <c r="C1474">
        <v>2.92E-2</v>
      </c>
      <c r="D1474">
        <v>5.4399999999999997E-2</v>
      </c>
      <c r="E1474">
        <v>0.2712</v>
      </c>
      <c r="F1474">
        <v>0.22869999999999999</v>
      </c>
      <c r="G1474">
        <v>70</v>
      </c>
      <c r="H1474">
        <v>120</v>
      </c>
      <c r="I1474">
        <v>32</v>
      </c>
      <c r="J1474">
        <v>1</v>
      </c>
      <c r="K1474">
        <v>21.14</v>
      </c>
    </row>
    <row r="1475" spans="1:11">
      <c r="A1475">
        <v>0.38390000000000002</v>
      </c>
      <c r="B1475">
        <v>5.6599999999999998E-2</v>
      </c>
      <c r="C1475">
        <v>7.8200000000000006E-2</v>
      </c>
      <c r="D1475">
        <v>0</v>
      </c>
      <c r="E1475">
        <v>0.1807</v>
      </c>
      <c r="F1475">
        <v>0.30070000000000002</v>
      </c>
      <c r="G1475">
        <v>100</v>
      </c>
      <c r="H1475">
        <v>120</v>
      </c>
      <c r="I1475">
        <v>25</v>
      </c>
      <c r="J1475">
        <v>2</v>
      </c>
      <c r="K1475">
        <v>38.39</v>
      </c>
    </row>
    <row r="1476" spans="1:11">
      <c r="A1476">
        <v>0.30830000000000002</v>
      </c>
      <c r="B1476">
        <v>6.0600000000000001E-2</v>
      </c>
      <c r="C1476">
        <v>0.1205</v>
      </c>
      <c r="D1476">
        <v>6.6000000000000003E-2</v>
      </c>
      <c r="E1476">
        <v>7.6499999999999999E-2</v>
      </c>
      <c r="F1476">
        <v>0.36809999999999998</v>
      </c>
      <c r="G1476">
        <v>100</v>
      </c>
      <c r="H1476">
        <v>150</v>
      </c>
      <c r="I1476">
        <v>39</v>
      </c>
      <c r="J1476">
        <v>2</v>
      </c>
      <c r="K1476">
        <v>30.83</v>
      </c>
    </row>
    <row r="1477" spans="1:11">
      <c r="A1477">
        <v>0.48020000000000002</v>
      </c>
      <c r="B1477">
        <v>0.1167</v>
      </c>
      <c r="C1477">
        <v>1.2200000000000001E-2</v>
      </c>
      <c r="D1477">
        <v>4.9700000000000001E-2</v>
      </c>
      <c r="E1477">
        <v>0.1014</v>
      </c>
      <c r="F1477">
        <v>0.2399</v>
      </c>
      <c r="G1477">
        <v>70</v>
      </c>
      <c r="H1477">
        <v>110</v>
      </c>
      <c r="I1477">
        <v>37</v>
      </c>
      <c r="J1477">
        <v>2</v>
      </c>
      <c r="K1477">
        <v>33.613999999999997</v>
      </c>
    </row>
    <row r="1478" spans="1:11">
      <c r="A1478">
        <v>0.4556</v>
      </c>
      <c r="B1478">
        <v>6.3700000000000007E-2</v>
      </c>
      <c r="C1478">
        <v>0.13489999999999999</v>
      </c>
      <c r="D1478">
        <v>5.28E-2</v>
      </c>
      <c r="E1478">
        <v>0.12570000000000001</v>
      </c>
      <c r="F1478">
        <v>0.16719999999999999</v>
      </c>
      <c r="G1478">
        <v>80</v>
      </c>
      <c r="H1478">
        <v>100</v>
      </c>
      <c r="I1478">
        <v>37</v>
      </c>
      <c r="J1478">
        <v>2</v>
      </c>
      <c r="K1478">
        <v>36.448</v>
      </c>
    </row>
    <row r="1479" spans="1:11">
      <c r="A1479">
        <v>0.24640000000000001</v>
      </c>
      <c r="B1479">
        <v>0.1042</v>
      </c>
      <c r="C1479">
        <v>2.58E-2</v>
      </c>
      <c r="D1479">
        <v>1.3299999999999999E-2</v>
      </c>
      <c r="E1479">
        <v>0.23519999999999999</v>
      </c>
      <c r="F1479">
        <v>0.375</v>
      </c>
      <c r="G1479">
        <v>80</v>
      </c>
      <c r="H1479">
        <v>130</v>
      </c>
      <c r="I1479">
        <v>37</v>
      </c>
      <c r="J1479">
        <v>2</v>
      </c>
      <c r="K1479">
        <v>19.712</v>
      </c>
    </row>
    <row r="1480" spans="1:11">
      <c r="A1480">
        <v>0.41839999999999999</v>
      </c>
      <c r="B1480">
        <v>0</v>
      </c>
      <c r="C1480">
        <v>2.01E-2</v>
      </c>
      <c r="D1480">
        <v>3.9899999999999998E-2</v>
      </c>
      <c r="E1480">
        <v>0.2054</v>
      </c>
      <c r="F1480">
        <v>0.31619999999999998</v>
      </c>
      <c r="G1480">
        <v>90</v>
      </c>
      <c r="H1480">
        <v>100</v>
      </c>
      <c r="I1480">
        <v>42</v>
      </c>
      <c r="J1480">
        <v>1</v>
      </c>
      <c r="K1480">
        <v>37.655999999999999</v>
      </c>
    </row>
    <row r="1481" spans="1:11">
      <c r="A1481">
        <v>0.36380000000000001</v>
      </c>
      <c r="B1481">
        <v>6.6600000000000006E-2</v>
      </c>
      <c r="C1481">
        <v>0.2029</v>
      </c>
      <c r="D1481">
        <v>4.8999999999999998E-3</v>
      </c>
      <c r="E1481">
        <v>4.5900000000000003E-2</v>
      </c>
      <c r="F1481">
        <v>0.31580000000000003</v>
      </c>
      <c r="G1481">
        <v>80</v>
      </c>
      <c r="H1481">
        <v>140</v>
      </c>
      <c r="I1481">
        <v>31</v>
      </c>
      <c r="J1481">
        <v>2</v>
      </c>
      <c r="K1481">
        <v>29.103999999999999</v>
      </c>
    </row>
    <row r="1482" spans="1:11">
      <c r="A1482">
        <v>0.27610000000000001</v>
      </c>
      <c r="B1482">
        <v>7.0000000000000007E-2</v>
      </c>
      <c r="C1482">
        <v>8.1100000000000005E-2</v>
      </c>
      <c r="D1482">
        <v>8.5300000000000001E-2</v>
      </c>
      <c r="E1482">
        <v>0.23089999999999999</v>
      </c>
      <c r="F1482">
        <v>0.25659999999999999</v>
      </c>
      <c r="G1482">
        <v>130</v>
      </c>
      <c r="H1482">
        <v>140</v>
      </c>
      <c r="I1482">
        <v>40</v>
      </c>
      <c r="J1482">
        <v>1</v>
      </c>
      <c r="K1482">
        <v>35.893000000000001</v>
      </c>
    </row>
    <row r="1483" spans="1:11">
      <c r="A1483">
        <v>0.30430000000000001</v>
      </c>
      <c r="B1483">
        <v>7.4399999999999994E-2</v>
      </c>
      <c r="C1483">
        <v>0.12909999999999999</v>
      </c>
      <c r="D1483">
        <v>3.5000000000000003E-2</v>
      </c>
      <c r="E1483">
        <v>2.3300000000000001E-2</v>
      </c>
      <c r="F1483">
        <v>0.43390000000000001</v>
      </c>
      <c r="G1483">
        <v>130</v>
      </c>
      <c r="H1483">
        <v>120</v>
      </c>
      <c r="I1483">
        <v>40</v>
      </c>
      <c r="J1483">
        <v>1</v>
      </c>
      <c r="K1483">
        <v>39.558999999999997</v>
      </c>
    </row>
    <row r="1484" spans="1:11">
      <c r="A1484">
        <v>0.43830000000000002</v>
      </c>
      <c r="B1484">
        <v>0.1449</v>
      </c>
      <c r="C1484">
        <v>4.9200000000000001E-2</v>
      </c>
      <c r="D1484">
        <v>1.3899999999999999E-2</v>
      </c>
      <c r="E1484">
        <v>5.6399999999999999E-2</v>
      </c>
      <c r="F1484">
        <v>0.29730000000000001</v>
      </c>
      <c r="G1484">
        <v>50</v>
      </c>
      <c r="H1484">
        <v>110</v>
      </c>
      <c r="I1484">
        <v>25</v>
      </c>
      <c r="J1484">
        <v>2</v>
      </c>
      <c r="K1484">
        <v>21.914999999999999</v>
      </c>
    </row>
    <row r="1485" spans="1:11">
      <c r="A1485">
        <v>0.36159999999999998</v>
      </c>
      <c r="B1485">
        <v>5.0299999999999997E-2</v>
      </c>
      <c r="C1485">
        <v>2.4799999999999999E-2</v>
      </c>
      <c r="D1485">
        <v>6.6E-3</v>
      </c>
      <c r="E1485">
        <v>0.23469999999999999</v>
      </c>
      <c r="F1485">
        <v>0.32200000000000001</v>
      </c>
      <c r="G1485">
        <v>70</v>
      </c>
      <c r="H1485">
        <v>110</v>
      </c>
      <c r="I1485">
        <v>29</v>
      </c>
      <c r="J1485">
        <v>1</v>
      </c>
      <c r="K1485">
        <v>25.312000000000001</v>
      </c>
    </row>
    <row r="1486" spans="1:11">
      <c r="A1486">
        <v>0.31259999999999999</v>
      </c>
      <c r="B1486">
        <v>9.5799999999999996E-2</v>
      </c>
      <c r="C1486">
        <v>0.25380000000000003</v>
      </c>
      <c r="D1486">
        <v>5.2200000000000003E-2</v>
      </c>
      <c r="E1486">
        <v>9.2899999999999996E-2</v>
      </c>
      <c r="F1486">
        <v>0.19259999999999999</v>
      </c>
      <c r="G1486">
        <v>120</v>
      </c>
      <c r="H1486">
        <v>150</v>
      </c>
      <c r="I1486">
        <v>32</v>
      </c>
      <c r="J1486">
        <v>2</v>
      </c>
      <c r="K1486">
        <v>37.512</v>
      </c>
    </row>
    <row r="1487" spans="1:11">
      <c r="A1487">
        <v>0.18290000000000001</v>
      </c>
      <c r="B1487">
        <v>0.1208</v>
      </c>
      <c r="C1487">
        <v>3.4700000000000002E-2</v>
      </c>
      <c r="D1487">
        <v>5.16E-2</v>
      </c>
      <c r="E1487">
        <v>0.40339999999999998</v>
      </c>
      <c r="F1487">
        <v>0.20660000000000001</v>
      </c>
      <c r="G1487">
        <v>100</v>
      </c>
      <c r="H1487">
        <v>80</v>
      </c>
      <c r="I1487">
        <v>40</v>
      </c>
      <c r="J1487">
        <v>1</v>
      </c>
      <c r="K1487">
        <v>18.29</v>
      </c>
    </row>
    <row r="1488" spans="1:11">
      <c r="A1488">
        <v>0.2792</v>
      </c>
      <c r="B1488">
        <v>0.1394</v>
      </c>
      <c r="C1488">
        <v>0</v>
      </c>
      <c r="D1488">
        <v>8.3500000000000005E-2</v>
      </c>
      <c r="E1488">
        <v>0.14319999999999999</v>
      </c>
      <c r="F1488">
        <v>0.35470000000000002</v>
      </c>
      <c r="G1488">
        <v>60</v>
      </c>
      <c r="H1488">
        <v>120</v>
      </c>
      <c r="I1488">
        <v>32</v>
      </c>
      <c r="J1488">
        <v>2</v>
      </c>
      <c r="K1488">
        <v>16.751999999999999</v>
      </c>
    </row>
    <row r="1489" spans="1:11">
      <c r="A1489">
        <v>0.40550000000000003</v>
      </c>
      <c r="B1489">
        <v>0.1167</v>
      </c>
      <c r="C1489">
        <v>0.1072</v>
      </c>
      <c r="D1489">
        <v>0</v>
      </c>
      <c r="E1489">
        <v>0.1192</v>
      </c>
      <c r="F1489">
        <v>0.25130000000000002</v>
      </c>
      <c r="G1489">
        <v>60</v>
      </c>
      <c r="H1489">
        <v>90</v>
      </c>
      <c r="I1489">
        <v>43</v>
      </c>
      <c r="J1489">
        <v>1</v>
      </c>
      <c r="K1489">
        <v>24.33</v>
      </c>
    </row>
    <row r="1490" spans="1:11">
      <c r="A1490">
        <v>0.23960000000000001</v>
      </c>
      <c r="B1490">
        <v>6.59E-2</v>
      </c>
      <c r="C1490">
        <v>0.14810000000000001</v>
      </c>
      <c r="D1490">
        <v>7.0400000000000004E-2</v>
      </c>
      <c r="E1490">
        <v>0.24329999999999999</v>
      </c>
      <c r="F1490">
        <v>0.2326</v>
      </c>
      <c r="G1490">
        <v>130</v>
      </c>
      <c r="H1490">
        <v>160</v>
      </c>
      <c r="I1490">
        <v>37</v>
      </c>
      <c r="J1490">
        <v>2</v>
      </c>
      <c r="K1490">
        <v>31.148</v>
      </c>
    </row>
    <row r="1491" spans="1:11">
      <c r="A1491">
        <v>0.4385</v>
      </c>
      <c r="B1491">
        <v>7.0099999999999996E-2</v>
      </c>
      <c r="C1491">
        <v>2.3300000000000001E-2</v>
      </c>
      <c r="D1491">
        <v>0.15590000000000001</v>
      </c>
      <c r="E1491">
        <v>0.18970000000000001</v>
      </c>
      <c r="F1491">
        <v>0.1225</v>
      </c>
      <c r="G1491">
        <v>90</v>
      </c>
      <c r="H1491">
        <v>110</v>
      </c>
      <c r="I1491">
        <v>48</v>
      </c>
      <c r="J1491">
        <v>1</v>
      </c>
      <c r="K1491">
        <v>39.465000000000003</v>
      </c>
    </row>
    <row r="1492" spans="1:11">
      <c r="A1492">
        <v>0.30299999999999999</v>
      </c>
      <c r="B1492">
        <v>5.4899999999999997E-2</v>
      </c>
      <c r="C1492">
        <v>0.17299999999999999</v>
      </c>
      <c r="D1492">
        <v>1.7600000000000001E-2</v>
      </c>
      <c r="E1492">
        <v>0.1116</v>
      </c>
      <c r="F1492">
        <v>0.33979999999999999</v>
      </c>
      <c r="G1492">
        <v>90</v>
      </c>
      <c r="H1492">
        <v>110</v>
      </c>
      <c r="I1492">
        <v>35</v>
      </c>
      <c r="J1492">
        <v>2</v>
      </c>
      <c r="K1492">
        <v>27.27</v>
      </c>
    </row>
    <row r="1493" spans="1:11">
      <c r="A1493">
        <v>0.15629999999999999</v>
      </c>
      <c r="B1493">
        <v>0.108</v>
      </c>
      <c r="C1493">
        <v>0.3352</v>
      </c>
      <c r="D1493">
        <v>6.4000000000000003E-3</v>
      </c>
      <c r="E1493">
        <v>0.16489999999999999</v>
      </c>
      <c r="F1493">
        <v>0.2293</v>
      </c>
      <c r="G1493">
        <v>50</v>
      </c>
      <c r="H1493">
        <v>100</v>
      </c>
      <c r="I1493">
        <v>41</v>
      </c>
      <c r="J1493">
        <v>1</v>
      </c>
      <c r="K1493">
        <v>7.8150000000000004</v>
      </c>
    </row>
    <row r="1494" spans="1:11">
      <c r="A1494">
        <v>0.24149999999999999</v>
      </c>
      <c r="B1494">
        <v>4.9700000000000001E-2</v>
      </c>
      <c r="C1494">
        <v>0.18210000000000001</v>
      </c>
      <c r="D1494">
        <v>0.1003</v>
      </c>
      <c r="E1494">
        <v>0.1268</v>
      </c>
      <c r="F1494">
        <v>0.29949999999999999</v>
      </c>
      <c r="G1494">
        <v>210</v>
      </c>
      <c r="H1494">
        <v>110</v>
      </c>
      <c r="I1494">
        <v>36</v>
      </c>
      <c r="J1494">
        <v>2</v>
      </c>
      <c r="K1494">
        <v>50.715000000000003</v>
      </c>
    </row>
    <row r="1495" spans="1:11">
      <c r="A1495">
        <v>0.46250000000000002</v>
      </c>
      <c r="B1495">
        <v>7.1900000000000006E-2</v>
      </c>
      <c r="C1495">
        <v>3.1E-2</v>
      </c>
      <c r="D1495">
        <v>0.1867</v>
      </c>
      <c r="E1495">
        <v>6.4399999999999999E-2</v>
      </c>
      <c r="F1495">
        <v>0.18360000000000001</v>
      </c>
      <c r="G1495">
        <v>50</v>
      </c>
      <c r="H1495">
        <v>80</v>
      </c>
      <c r="I1495">
        <v>27</v>
      </c>
      <c r="J1495">
        <v>2</v>
      </c>
      <c r="K1495">
        <v>23.125</v>
      </c>
    </row>
    <row r="1496" spans="1:11">
      <c r="A1496">
        <v>0.37419999999999998</v>
      </c>
      <c r="B1496">
        <v>5.3400000000000003E-2</v>
      </c>
      <c r="C1496">
        <v>0.1103</v>
      </c>
      <c r="D1496">
        <v>0</v>
      </c>
      <c r="E1496">
        <v>0.22239999999999999</v>
      </c>
      <c r="F1496">
        <v>0.2397</v>
      </c>
      <c r="G1496">
        <v>70</v>
      </c>
      <c r="H1496">
        <v>140</v>
      </c>
      <c r="I1496">
        <v>35</v>
      </c>
      <c r="J1496">
        <v>2</v>
      </c>
      <c r="K1496">
        <v>26.193999999999999</v>
      </c>
    </row>
    <row r="1497" spans="1:11">
      <c r="A1497">
        <v>0.45600000000000002</v>
      </c>
      <c r="B1497">
        <v>0.12540000000000001</v>
      </c>
      <c r="C1497">
        <v>0.1106</v>
      </c>
      <c r="D1497">
        <v>2.1100000000000001E-2</v>
      </c>
      <c r="E1497">
        <v>9.2600000000000002E-2</v>
      </c>
      <c r="F1497">
        <v>0.1943</v>
      </c>
      <c r="G1497">
        <v>90</v>
      </c>
      <c r="H1497">
        <v>100</v>
      </c>
      <c r="I1497">
        <v>35</v>
      </c>
      <c r="J1497">
        <v>2</v>
      </c>
      <c r="K1497">
        <v>41.04</v>
      </c>
    </row>
    <row r="1498" spans="1:11">
      <c r="A1498">
        <v>0.2331</v>
      </c>
      <c r="B1498">
        <v>9.6100000000000005E-2</v>
      </c>
      <c r="C1498">
        <v>0.11310000000000001</v>
      </c>
      <c r="D1498">
        <v>6.1400000000000003E-2</v>
      </c>
      <c r="E1498">
        <v>0.1469</v>
      </c>
      <c r="F1498">
        <v>0.34949999999999998</v>
      </c>
      <c r="G1498">
        <v>150</v>
      </c>
      <c r="H1498">
        <v>230</v>
      </c>
      <c r="I1498">
        <v>32</v>
      </c>
      <c r="J1498">
        <v>2</v>
      </c>
      <c r="K1498">
        <v>34.965000000000003</v>
      </c>
    </row>
    <row r="1499" spans="1:11">
      <c r="A1499">
        <v>0.25669999999999998</v>
      </c>
      <c r="B1499">
        <v>0.13539999999999999</v>
      </c>
      <c r="C1499">
        <v>0.12920000000000001</v>
      </c>
      <c r="D1499">
        <v>5.1799999999999999E-2</v>
      </c>
      <c r="E1499">
        <v>7.1900000000000006E-2</v>
      </c>
      <c r="F1499">
        <v>0.35499999999999998</v>
      </c>
      <c r="G1499">
        <v>210</v>
      </c>
      <c r="H1499">
        <v>170</v>
      </c>
      <c r="I1499">
        <v>53</v>
      </c>
      <c r="J1499">
        <v>1</v>
      </c>
      <c r="K1499">
        <v>53.906999999999996</v>
      </c>
    </row>
    <row r="1500" spans="1:11">
      <c r="A1500">
        <v>0.34010000000000001</v>
      </c>
      <c r="B1500">
        <v>0.1143</v>
      </c>
      <c r="C1500">
        <v>0.2737</v>
      </c>
      <c r="D1500">
        <v>3.56E-2</v>
      </c>
      <c r="E1500">
        <v>2.7000000000000001E-3</v>
      </c>
      <c r="F1500">
        <v>0.23350000000000001</v>
      </c>
      <c r="G1500">
        <v>70</v>
      </c>
      <c r="H1500">
        <v>120</v>
      </c>
      <c r="I1500">
        <v>26</v>
      </c>
      <c r="J1500">
        <v>2</v>
      </c>
      <c r="K1500">
        <v>23.806999999999999</v>
      </c>
    </row>
    <row r="1501" spans="1:11">
      <c r="A1501">
        <v>0.44450000000000001</v>
      </c>
      <c r="B1501">
        <v>8.6499999999999994E-2</v>
      </c>
      <c r="C1501">
        <v>0</v>
      </c>
      <c r="D1501">
        <v>1.44E-2</v>
      </c>
      <c r="E1501">
        <v>0.31979999999999997</v>
      </c>
      <c r="F1501">
        <v>0.1348</v>
      </c>
      <c r="G1501">
        <v>50</v>
      </c>
      <c r="H1501">
        <v>120</v>
      </c>
      <c r="I1501">
        <v>42</v>
      </c>
      <c r="J1501">
        <v>2</v>
      </c>
      <c r="K1501">
        <v>22.225000000000001</v>
      </c>
    </row>
    <row r="1502" spans="1:11">
      <c r="A1502">
        <v>0.38819999999999999</v>
      </c>
      <c r="B1502">
        <v>0.18809999999999999</v>
      </c>
      <c r="C1502">
        <v>3.4599999999999999E-2</v>
      </c>
      <c r="D1502">
        <v>5.6099999999999997E-2</v>
      </c>
      <c r="E1502">
        <v>6.7999999999999996E-3</v>
      </c>
      <c r="F1502">
        <v>0.3261</v>
      </c>
      <c r="G1502">
        <v>40</v>
      </c>
      <c r="H1502">
        <v>100</v>
      </c>
      <c r="I1502">
        <v>32</v>
      </c>
      <c r="J1502">
        <v>2</v>
      </c>
      <c r="K1502">
        <v>15.528</v>
      </c>
    </row>
    <row r="1503" spans="1:11">
      <c r="A1503">
        <v>0.34599999999999997</v>
      </c>
      <c r="B1503">
        <v>9.1999999999999998E-2</v>
      </c>
      <c r="C1503">
        <v>0.15440000000000001</v>
      </c>
      <c r="D1503">
        <v>3.2500000000000001E-2</v>
      </c>
      <c r="E1503">
        <v>0.14369999999999999</v>
      </c>
      <c r="F1503">
        <v>0.23139999999999999</v>
      </c>
      <c r="G1503">
        <v>130</v>
      </c>
      <c r="H1503">
        <v>170</v>
      </c>
      <c r="I1503">
        <v>34</v>
      </c>
      <c r="J1503">
        <v>2</v>
      </c>
      <c r="K1503">
        <v>44.98</v>
      </c>
    </row>
    <row r="1504" spans="1:11">
      <c r="A1504">
        <v>0.39040000000000002</v>
      </c>
      <c r="B1504">
        <v>0.12920000000000001</v>
      </c>
      <c r="C1504">
        <v>6.7400000000000002E-2</v>
      </c>
      <c r="D1504">
        <v>0</v>
      </c>
      <c r="E1504">
        <v>0.1009</v>
      </c>
      <c r="F1504">
        <v>0.31190000000000001</v>
      </c>
      <c r="G1504">
        <v>50</v>
      </c>
      <c r="H1504">
        <v>130</v>
      </c>
      <c r="I1504">
        <v>34</v>
      </c>
      <c r="J1504">
        <v>2</v>
      </c>
      <c r="K1504">
        <v>19.52</v>
      </c>
    </row>
    <row r="1505" spans="1:11">
      <c r="A1505">
        <v>0.47189999999999999</v>
      </c>
      <c r="B1505">
        <v>0.16420000000000001</v>
      </c>
      <c r="C1505">
        <v>4.2999999999999997E-2</v>
      </c>
      <c r="D1505">
        <v>0.1203</v>
      </c>
      <c r="E1505">
        <v>0.1298</v>
      </c>
      <c r="F1505">
        <v>7.0800000000000002E-2</v>
      </c>
      <c r="G1505">
        <v>110</v>
      </c>
      <c r="H1505">
        <v>80</v>
      </c>
      <c r="I1505">
        <v>46</v>
      </c>
      <c r="J1505">
        <v>2</v>
      </c>
      <c r="K1505">
        <v>51.908999999999999</v>
      </c>
    </row>
    <row r="1506" spans="1:11">
      <c r="A1506">
        <v>0.2555</v>
      </c>
      <c r="B1506">
        <v>4.1200000000000001E-2</v>
      </c>
      <c r="C1506">
        <v>1.1900000000000001E-2</v>
      </c>
      <c r="D1506">
        <v>5.6399999999999999E-2</v>
      </c>
      <c r="E1506">
        <v>0.1202</v>
      </c>
      <c r="F1506">
        <v>0.51490000000000002</v>
      </c>
      <c r="G1506">
        <v>140</v>
      </c>
      <c r="H1506">
        <v>170</v>
      </c>
      <c r="I1506">
        <v>40</v>
      </c>
      <c r="J1506">
        <v>2</v>
      </c>
      <c r="K1506">
        <v>35.770000000000003</v>
      </c>
    </row>
    <row r="1507" spans="1:11">
      <c r="A1507">
        <v>0.53010000000000002</v>
      </c>
      <c r="B1507">
        <v>0.12889999999999999</v>
      </c>
      <c r="C1507">
        <v>7.2599999999999998E-2</v>
      </c>
      <c r="D1507">
        <v>4.7399999999999998E-2</v>
      </c>
      <c r="E1507">
        <v>0.1168</v>
      </c>
      <c r="F1507">
        <v>0.1041</v>
      </c>
      <c r="G1507">
        <v>110</v>
      </c>
      <c r="H1507">
        <v>110</v>
      </c>
      <c r="I1507">
        <v>39</v>
      </c>
      <c r="J1507">
        <v>2</v>
      </c>
      <c r="K1507">
        <v>58.311</v>
      </c>
    </row>
    <row r="1508" spans="1:11">
      <c r="A1508">
        <v>0.3876</v>
      </c>
      <c r="B1508">
        <v>0.1072</v>
      </c>
      <c r="C1508">
        <v>1.14E-2</v>
      </c>
      <c r="D1508">
        <v>6.5000000000000002E-2</v>
      </c>
      <c r="E1508">
        <v>0.23849999999999999</v>
      </c>
      <c r="F1508">
        <v>0.19020000000000001</v>
      </c>
      <c r="G1508">
        <v>190</v>
      </c>
      <c r="H1508">
        <v>180</v>
      </c>
      <c r="I1508">
        <v>47</v>
      </c>
      <c r="J1508">
        <v>2</v>
      </c>
      <c r="K1508">
        <v>73.644000000000005</v>
      </c>
    </row>
    <row r="1509" spans="1:11">
      <c r="A1509">
        <v>0.1623</v>
      </c>
      <c r="B1509">
        <v>5.8700000000000002E-2</v>
      </c>
      <c r="C1509">
        <v>0.36809999999999998</v>
      </c>
      <c r="D1509">
        <v>6.4799999999999996E-2</v>
      </c>
      <c r="E1509">
        <v>9.1399999999999995E-2</v>
      </c>
      <c r="F1509">
        <v>0.25469999999999998</v>
      </c>
      <c r="G1509">
        <v>160</v>
      </c>
      <c r="H1509">
        <v>110</v>
      </c>
      <c r="I1509">
        <v>26</v>
      </c>
      <c r="J1509">
        <v>1</v>
      </c>
      <c r="K1509">
        <v>25.968</v>
      </c>
    </row>
    <row r="1510" spans="1:11">
      <c r="A1510">
        <v>0.33360000000000001</v>
      </c>
      <c r="B1510">
        <v>3.4099999999999998E-2</v>
      </c>
      <c r="C1510">
        <v>0.17150000000000001</v>
      </c>
      <c r="D1510">
        <v>6.8000000000000005E-2</v>
      </c>
      <c r="E1510">
        <v>5.1200000000000002E-2</v>
      </c>
      <c r="F1510">
        <v>0.34160000000000001</v>
      </c>
      <c r="G1510">
        <v>140</v>
      </c>
      <c r="H1510">
        <v>130</v>
      </c>
      <c r="I1510">
        <v>42</v>
      </c>
      <c r="J1510">
        <v>2</v>
      </c>
      <c r="K1510">
        <v>46.704000000000001</v>
      </c>
    </row>
    <row r="1511" spans="1:11">
      <c r="A1511">
        <v>5.7099999999999998E-2</v>
      </c>
      <c r="B1511">
        <v>4.5400000000000003E-2</v>
      </c>
      <c r="C1511">
        <v>3.15E-2</v>
      </c>
      <c r="D1511">
        <v>3.0000000000000001E-3</v>
      </c>
      <c r="E1511">
        <v>0.68049999999999999</v>
      </c>
      <c r="F1511">
        <v>0.18240000000000001</v>
      </c>
      <c r="G1511">
        <v>270</v>
      </c>
      <c r="H1511">
        <v>150</v>
      </c>
      <c r="I1511">
        <v>34</v>
      </c>
      <c r="J1511">
        <v>1</v>
      </c>
      <c r="K1511">
        <v>15.417</v>
      </c>
    </row>
    <row r="1512" spans="1:11">
      <c r="A1512">
        <v>0.42259999999999998</v>
      </c>
      <c r="B1512">
        <v>0.1154</v>
      </c>
      <c r="C1512">
        <v>8.8999999999999999E-3</v>
      </c>
      <c r="D1512">
        <v>0.1305</v>
      </c>
      <c r="E1512">
        <v>6.1699999999999998E-2</v>
      </c>
      <c r="F1512">
        <v>0.26090000000000002</v>
      </c>
      <c r="G1512">
        <v>50</v>
      </c>
      <c r="H1512">
        <v>110</v>
      </c>
      <c r="I1512">
        <v>31</v>
      </c>
      <c r="J1512">
        <v>1</v>
      </c>
      <c r="K1512">
        <v>21.13</v>
      </c>
    </row>
    <row r="1513" spans="1:11">
      <c r="A1513">
        <v>0.40479999999999999</v>
      </c>
      <c r="B1513">
        <v>0.16170000000000001</v>
      </c>
      <c r="C1513">
        <v>4.02E-2</v>
      </c>
      <c r="D1513">
        <v>2.7199999999999998E-2</v>
      </c>
      <c r="E1513">
        <v>8.2100000000000006E-2</v>
      </c>
      <c r="F1513">
        <v>0.28399999999999997</v>
      </c>
      <c r="G1513">
        <v>60</v>
      </c>
      <c r="H1513">
        <v>90</v>
      </c>
      <c r="I1513">
        <v>37</v>
      </c>
      <c r="J1513">
        <v>2</v>
      </c>
      <c r="K1513">
        <v>24.288</v>
      </c>
    </row>
    <row r="1514" spans="1:11">
      <c r="A1514">
        <v>0.25440000000000002</v>
      </c>
      <c r="B1514">
        <v>4.7300000000000002E-2</v>
      </c>
      <c r="C1514">
        <v>0.17399999999999999</v>
      </c>
      <c r="D1514">
        <v>0.24249999999999999</v>
      </c>
      <c r="E1514">
        <v>9.6299999999999997E-2</v>
      </c>
      <c r="F1514">
        <v>0.18559999999999999</v>
      </c>
      <c r="G1514">
        <v>100</v>
      </c>
      <c r="H1514">
        <v>130</v>
      </c>
      <c r="I1514">
        <v>24</v>
      </c>
      <c r="J1514">
        <v>1</v>
      </c>
      <c r="K1514">
        <v>25.44</v>
      </c>
    </row>
    <row r="1515" spans="1:11">
      <c r="A1515">
        <v>0.52969999999999995</v>
      </c>
      <c r="B1515">
        <v>5.5399999999999998E-2</v>
      </c>
      <c r="C1515">
        <v>8.9899999999999994E-2</v>
      </c>
      <c r="D1515">
        <v>0.23619999999999999</v>
      </c>
      <c r="E1515">
        <v>3.3500000000000002E-2</v>
      </c>
      <c r="F1515">
        <v>5.5300000000000002E-2</v>
      </c>
      <c r="G1515">
        <v>60</v>
      </c>
      <c r="H1515">
        <v>90</v>
      </c>
      <c r="I1515">
        <v>21</v>
      </c>
      <c r="J1515">
        <v>1</v>
      </c>
      <c r="K1515">
        <v>31.782</v>
      </c>
    </row>
    <row r="1516" spans="1:11">
      <c r="A1516">
        <v>0.28489999999999999</v>
      </c>
      <c r="B1516">
        <v>0.14599999999999999</v>
      </c>
      <c r="C1516">
        <v>0.23910000000000001</v>
      </c>
      <c r="D1516">
        <v>0.1108</v>
      </c>
      <c r="E1516">
        <v>7.8799999999999995E-2</v>
      </c>
      <c r="F1516">
        <v>0.1404</v>
      </c>
      <c r="G1516">
        <v>190</v>
      </c>
      <c r="H1516">
        <v>70</v>
      </c>
      <c r="I1516">
        <v>34</v>
      </c>
      <c r="J1516">
        <v>2</v>
      </c>
      <c r="K1516">
        <v>54.131</v>
      </c>
    </row>
    <row r="1517" spans="1:11">
      <c r="A1517">
        <v>0.62180000000000002</v>
      </c>
      <c r="B1517">
        <v>0.15840000000000001</v>
      </c>
      <c r="C1517">
        <v>0</v>
      </c>
      <c r="D1517">
        <v>0</v>
      </c>
      <c r="E1517">
        <v>0</v>
      </c>
      <c r="F1517">
        <v>0.21970000000000001</v>
      </c>
      <c r="G1517">
        <v>40</v>
      </c>
      <c r="H1517">
        <v>50</v>
      </c>
      <c r="I1517">
        <v>47</v>
      </c>
      <c r="J1517">
        <v>1</v>
      </c>
      <c r="K1517">
        <v>24.872</v>
      </c>
    </row>
    <row r="1518" spans="1:11">
      <c r="A1518">
        <v>0.41060000000000002</v>
      </c>
      <c r="B1518">
        <v>4.02E-2</v>
      </c>
      <c r="C1518">
        <v>5.4000000000000003E-3</v>
      </c>
      <c r="D1518">
        <v>7.0000000000000007E-2</v>
      </c>
      <c r="E1518">
        <v>0.22559999999999999</v>
      </c>
      <c r="F1518">
        <v>0.24829999999999999</v>
      </c>
      <c r="G1518">
        <v>90</v>
      </c>
      <c r="H1518">
        <v>120</v>
      </c>
      <c r="I1518">
        <v>29</v>
      </c>
      <c r="J1518">
        <v>2</v>
      </c>
      <c r="K1518">
        <v>36.954000000000001</v>
      </c>
    </row>
    <row r="1519" spans="1:11">
      <c r="A1519">
        <v>0.2787</v>
      </c>
      <c r="B1519">
        <v>0.1066</v>
      </c>
      <c r="C1519">
        <v>1.7600000000000001E-2</v>
      </c>
      <c r="D1519">
        <v>0</v>
      </c>
      <c r="E1519">
        <v>0.21959999999999999</v>
      </c>
      <c r="F1519">
        <v>0.3775</v>
      </c>
      <c r="G1519">
        <v>70</v>
      </c>
      <c r="H1519">
        <v>90</v>
      </c>
      <c r="I1519">
        <v>34</v>
      </c>
      <c r="J1519">
        <v>2</v>
      </c>
      <c r="K1519">
        <v>19.509</v>
      </c>
    </row>
    <row r="1520" spans="1:11">
      <c r="A1520">
        <v>0.32979999999999998</v>
      </c>
      <c r="B1520">
        <v>7.5899999999999995E-2</v>
      </c>
      <c r="C1520">
        <v>0.25659999999999999</v>
      </c>
      <c r="D1520">
        <v>2.92E-2</v>
      </c>
      <c r="E1520">
        <v>0.13089999999999999</v>
      </c>
      <c r="F1520">
        <v>0.1777</v>
      </c>
      <c r="G1520">
        <v>100</v>
      </c>
      <c r="H1520">
        <v>260</v>
      </c>
      <c r="I1520">
        <v>38</v>
      </c>
      <c r="J1520">
        <v>2</v>
      </c>
      <c r="K1520">
        <v>32.979999999999997</v>
      </c>
    </row>
    <row r="1521" spans="1:11">
      <c r="A1521">
        <v>0.60609999999999997</v>
      </c>
      <c r="B1521">
        <v>4.5900000000000003E-2</v>
      </c>
      <c r="C1521">
        <v>7.8700000000000006E-2</v>
      </c>
      <c r="D1521">
        <v>6.7900000000000002E-2</v>
      </c>
      <c r="E1521">
        <v>2.5899999999999999E-2</v>
      </c>
      <c r="F1521">
        <v>0.17549999999999999</v>
      </c>
      <c r="G1521">
        <v>130</v>
      </c>
      <c r="H1521">
        <v>160</v>
      </c>
      <c r="I1521">
        <v>44</v>
      </c>
      <c r="J1521">
        <v>2</v>
      </c>
      <c r="K1521">
        <v>78.793000000000006</v>
      </c>
    </row>
    <row r="1522" spans="1:11">
      <c r="A1522">
        <v>0.1885</v>
      </c>
      <c r="B1522">
        <v>3.2800000000000003E-2</v>
      </c>
      <c r="C1522">
        <v>0.12790000000000001</v>
      </c>
      <c r="D1522">
        <v>0.2162</v>
      </c>
      <c r="E1522">
        <v>0.1575</v>
      </c>
      <c r="F1522">
        <v>0.27710000000000001</v>
      </c>
      <c r="G1522">
        <v>140</v>
      </c>
      <c r="H1522">
        <v>140</v>
      </c>
      <c r="I1522">
        <v>27</v>
      </c>
      <c r="J1522">
        <v>1</v>
      </c>
      <c r="K1522">
        <v>26.39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0C14F-1F0D-43FD-9808-0F10677EB026}">
  <dimension ref="A1:G32"/>
  <sheetViews>
    <sheetView workbookViewId="0">
      <selection activeCell="H22" sqref="H22"/>
    </sheetView>
  </sheetViews>
  <sheetFormatPr defaultRowHeight="15"/>
  <sheetData>
    <row r="1" spans="1:7">
      <c r="A1" t="s">
        <v>440</v>
      </c>
    </row>
    <row r="3" spans="1:7">
      <c r="A3" t="s">
        <v>441</v>
      </c>
      <c r="B3" t="s">
        <v>442</v>
      </c>
      <c r="C3" t="s">
        <v>443</v>
      </c>
      <c r="D3" t="s">
        <v>444</v>
      </c>
      <c r="E3" t="s">
        <v>445</v>
      </c>
      <c r="F3" t="s">
        <v>446</v>
      </c>
      <c r="G3" t="s">
        <v>447</v>
      </c>
    </row>
    <row r="4" spans="1:7">
      <c r="A4">
        <v>13599</v>
      </c>
      <c r="B4">
        <v>87957</v>
      </c>
      <c r="C4">
        <v>6.4679999999999998E-3</v>
      </c>
      <c r="D4">
        <v>9.5177519999999998</v>
      </c>
      <c r="E4">
        <v>11.384600000000001</v>
      </c>
      <c r="F4" s="87">
        <v>7.3499999999999998E-5</v>
      </c>
      <c r="G4" s="87">
        <v>1.1399999999999999E-5</v>
      </c>
    </row>
    <row r="5" spans="1:7">
      <c r="A5">
        <v>4699</v>
      </c>
      <c r="B5">
        <v>23578</v>
      </c>
      <c r="C5">
        <v>5.0179999999999999E-3</v>
      </c>
      <c r="D5">
        <v>8.4551049999999996</v>
      </c>
      <c r="E5">
        <v>10.068070000000001</v>
      </c>
      <c r="F5">
        <v>2.13E-4</v>
      </c>
      <c r="G5" s="87">
        <v>4.2400000000000001E-5</v>
      </c>
    </row>
    <row r="6" spans="1:7">
      <c r="A6">
        <v>5473</v>
      </c>
      <c r="B6">
        <v>16345</v>
      </c>
      <c r="C6">
        <v>2.9859999999999999E-3</v>
      </c>
      <c r="D6">
        <v>8.6075820000000007</v>
      </c>
      <c r="E6">
        <v>9.7016770000000001</v>
      </c>
      <c r="F6">
        <v>1.83E-4</v>
      </c>
      <c r="G6" s="87">
        <v>6.1199999999999997E-5</v>
      </c>
    </row>
    <row r="7" spans="1:7">
      <c r="A7">
        <v>6119</v>
      </c>
      <c r="B7">
        <v>6550</v>
      </c>
      <c r="C7">
        <v>1.07E-3</v>
      </c>
      <c r="D7">
        <v>8.7191539999999996</v>
      </c>
      <c r="E7">
        <v>8.7872199999999996</v>
      </c>
      <c r="F7">
        <v>1.63E-4</v>
      </c>
      <c r="G7">
        <v>1.5300000000000001E-4</v>
      </c>
    </row>
    <row r="8" spans="1:7">
      <c r="A8">
        <v>8811</v>
      </c>
      <c r="B8">
        <v>10230</v>
      </c>
      <c r="C8">
        <v>1.1609999999999999E-3</v>
      </c>
      <c r="D8">
        <v>9.0837559999999993</v>
      </c>
      <c r="E8">
        <v>9.2330799999999993</v>
      </c>
      <c r="F8">
        <v>1.13E-4</v>
      </c>
      <c r="G8" s="87">
        <v>9.7800000000000006E-5</v>
      </c>
    </row>
    <row r="9" spans="1:7">
      <c r="A9">
        <v>1142</v>
      </c>
      <c r="B9">
        <v>9127</v>
      </c>
      <c r="C9">
        <v>7.9920000000000008E-3</v>
      </c>
      <c r="D9">
        <v>7.0405360000000003</v>
      </c>
      <c r="E9">
        <v>9.1189920000000004</v>
      </c>
      <c r="F9">
        <v>8.7600000000000004E-4</v>
      </c>
      <c r="G9">
        <v>1.1E-4</v>
      </c>
    </row>
    <row r="10" spans="1:7">
      <c r="A10">
        <v>143</v>
      </c>
      <c r="B10">
        <v>1675</v>
      </c>
      <c r="C10">
        <v>1.1712999999999999E-2</v>
      </c>
      <c r="D10">
        <v>4.9628449999999997</v>
      </c>
      <c r="E10">
        <v>7.4235680000000004</v>
      </c>
      <c r="F10">
        <v>6.9930000000000001E-3</v>
      </c>
      <c r="G10">
        <v>5.9699999999999998E-4</v>
      </c>
    </row>
    <row r="11" spans="1:7">
      <c r="A11">
        <v>138</v>
      </c>
      <c r="B11">
        <v>1110</v>
      </c>
      <c r="C11">
        <v>8.0429999999999998E-3</v>
      </c>
      <c r="D11">
        <v>4.9272539999999996</v>
      </c>
      <c r="E11">
        <v>7.0121149999999997</v>
      </c>
      <c r="F11">
        <v>7.2459999999999998E-3</v>
      </c>
      <c r="G11">
        <v>9.01E-4</v>
      </c>
    </row>
    <row r="12" spans="1:7">
      <c r="A12">
        <v>85</v>
      </c>
      <c r="B12">
        <v>3351</v>
      </c>
      <c r="C12">
        <v>3.9424000000000001E-2</v>
      </c>
      <c r="D12">
        <v>4.4426509999999997</v>
      </c>
      <c r="E12">
        <v>8.1170139999999993</v>
      </c>
      <c r="F12">
        <v>1.1764999999999999E-2</v>
      </c>
      <c r="G12">
        <v>2.9799999999999998E-4</v>
      </c>
    </row>
    <row r="13" spans="1:7">
      <c r="A13">
        <v>108</v>
      </c>
      <c r="B13">
        <v>1140</v>
      </c>
      <c r="C13">
        <v>1.0555999999999999E-2</v>
      </c>
      <c r="D13">
        <v>4.682131</v>
      </c>
      <c r="E13">
        <v>7.0387839999999997</v>
      </c>
      <c r="F13">
        <v>9.2589999999999999E-3</v>
      </c>
      <c r="G13">
        <v>8.7699999999999996E-4</v>
      </c>
    </row>
    <row r="14" spans="1:7">
      <c r="A14">
        <v>307</v>
      </c>
      <c r="B14">
        <v>6376</v>
      </c>
      <c r="C14">
        <v>2.0768999999999999E-2</v>
      </c>
      <c r="D14">
        <v>5.7268480000000004</v>
      </c>
      <c r="E14">
        <v>8.7602960000000003</v>
      </c>
      <c r="F14">
        <v>3.2569999999999999E-3</v>
      </c>
      <c r="G14">
        <v>1.5699999999999999E-4</v>
      </c>
    </row>
    <row r="15" spans="1:7">
      <c r="A15">
        <v>1545</v>
      </c>
      <c r="B15">
        <v>4500</v>
      </c>
      <c r="C15">
        <v>2.9129999999999998E-3</v>
      </c>
      <c r="D15">
        <v>7.3427790000000002</v>
      </c>
      <c r="E15">
        <v>8.4118329999999997</v>
      </c>
      <c r="F15">
        <v>6.4700000000000001E-4</v>
      </c>
      <c r="G15">
        <v>2.22E-4</v>
      </c>
    </row>
    <row r="16" spans="1:7">
      <c r="A16">
        <v>943</v>
      </c>
      <c r="B16">
        <v>1899</v>
      </c>
      <c r="C16">
        <v>2.0140000000000002E-3</v>
      </c>
      <c r="D16">
        <v>6.8490659999999997</v>
      </c>
      <c r="E16">
        <v>7.5490830000000004</v>
      </c>
      <c r="F16">
        <v>1.06E-3</v>
      </c>
      <c r="G16">
        <v>5.2700000000000002E-4</v>
      </c>
    </row>
    <row r="17" spans="1:7">
      <c r="A17">
        <v>369</v>
      </c>
      <c r="B17">
        <v>10101</v>
      </c>
      <c r="C17">
        <v>2.7373999999999999E-2</v>
      </c>
      <c r="D17">
        <v>5.9107969999999996</v>
      </c>
      <c r="E17">
        <v>9.2203900000000001</v>
      </c>
      <c r="F17">
        <v>2.7100000000000002E-3</v>
      </c>
      <c r="G17" s="87">
        <v>9.8999999999999994E-5</v>
      </c>
    </row>
    <row r="18" spans="1:7">
      <c r="A18">
        <v>285</v>
      </c>
      <c r="B18">
        <v>3831</v>
      </c>
      <c r="C18">
        <v>1.3442000000000001E-2</v>
      </c>
      <c r="D18">
        <v>5.6524890000000001</v>
      </c>
      <c r="E18">
        <v>8.2508809999999997</v>
      </c>
      <c r="F18">
        <v>3.509E-3</v>
      </c>
      <c r="G18">
        <v>2.61E-4</v>
      </c>
    </row>
    <row r="19" spans="1:7">
      <c r="A19">
        <v>1052</v>
      </c>
      <c r="B19">
        <v>99528</v>
      </c>
      <c r="C19">
        <v>9.4607999999999998E-2</v>
      </c>
      <c r="D19">
        <v>6.9584479999999997</v>
      </c>
      <c r="E19">
        <v>11.508190000000001</v>
      </c>
      <c r="F19">
        <v>9.5100000000000002E-4</v>
      </c>
      <c r="G19" s="87">
        <v>1.0000000000000001E-5</v>
      </c>
    </row>
    <row r="20" spans="1:7">
      <c r="A20">
        <v>862</v>
      </c>
      <c r="B20">
        <v>15855</v>
      </c>
      <c r="C20">
        <v>1.8393E-2</v>
      </c>
      <c r="D20">
        <v>6.7592549999999996</v>
      </c>
      <c r="E20">
        <v>9.6712399999999992</v>
      </c>
      <c r="F20">
        <v>1.16E-3</v>
      </c>
      <c r="G20" s="87">
        <v>6.3100000000000002E-5</v>
      </c>
    </row>
    <row r="21" spans="1:7">
      <c r="A21">
        <v>84</v>
      </c>
      <c r="B21">
        <v>8827</v>
      </c>
      <c r="C21">
        <v>0.105083</v>
      </c>
      <c r="D21">
        <v>4.4308170000000002</v>
      </c>
      <c r="E21">
        <v>9.0855700000000006</v>
      </c>
      <c r="F21">
        <v>1.1905000000000001E-2</v>
      </c>
      <c r="G21">
        <v>1.13E-4</v>
      </c>
    </row>
    <row r="22" spans="1:7">
      <c r="A22">
        <v>1174</v>
      </c>
      <c r="B22">
        <v>54517</v>
      </c>
      <c r="C22">
        <v>4.6436999999999999E-2</v>
      </c>
      <c r="D22">
        <v>7.0681719999999997</v>
      </c>
      <c r="E22">
        <v>10.906269999999999</v>
      </c>
      <c r="F22">
        <v>8.52E-4</v>
      </c>
      <c r="G22" s="87">
        <v>1.8300000000000001E-5</v>
      </c>
    </row>
    <row r="23" spans="1:7">
      <c r="A23">
        <v>2531</v>
      </c>
      <c r="B23">
        <v>49593</v>
      </c>
      <c r="C23">
        <v>1.9594E-2</v>
      </c>
      <c r="D23">
        <v>7.8363699999999996</v>
      </c>
      <c r="E23">
        <v>10.8116</v>
      </c>
      <c r="F23">
        <v>3.9500000000000001E-4</v>
      </c>
      <c r="G23" s="87">
        <v>2.02E-5</v>
      </c>
    </row>
    <row r="24" spans="1:7">
      <c r="A24">
        <v>408</v>
      </c>
      <c r="B24">
        <v>39664</v>
      </c>
      <c r="C24">
        <v>9.7215999999999997E-2</v>
      </c>
      <c r="D24">
        <v>6.0112670000000001</v>
      </c>
      <c r="E24">
        <v>10.588200000000001</v>
      </c>
      <c r="F24">
        <v>2.4510000000000001E-3</v>
      </c>
      <c r="G24" s="87">
        <v>2.5199999999999999E-5</v>
      </c>
    </row>
    <row r="25" spans="1:7">
      <c r="A25">
        <v>295</v>
      </c>
      <c r="B25">
        <v>327</v>
      </c>
      <c r="C25">
        <v>1.108E-3</v>
      </c>
      <c r="D25">
        <v>5.6869750000000003</v>
      </c>
      <c r="E25">
        <v>5.7899599999999998</v>
      </c>
      <c r="F25">
        <v>3.3899999999999998E-3</v>
      </c>
      <c r="G25">
        <v>3.058E-3</v>
      </c>
    </row>
    <row r="26" spans="1:7">
      <c r="A26">
        <v>488</v>
      </c>
      <c r="B26">
        <v>22549</v>
      </c>
      <c r="C26">
        <v>4.6206999999999998E-2</v>
      </c>
      <c r="D26">
        <v>6.190315</v>
      </c>
      <c r="E26">
        <v>10.02345</v>
      </c>
      <c r="F26">
        <v>2.049E-3</v>
      </c>
      <c r="G26" s="87">
        <v>4.4299999999999999E-5</v>
      </c>
    </row>
    <row r="27" spans="1:7">
      <c r="A27">
        <v>19200</v>
      </c>
      <c r="B27">
        <v>416422</v>
      </c>
      <c r="C27">
        <v>2.1689E-2</v>
      </c>
      <c r="D27">
        <v>9.8626660000000008</v>
      </c>
      <c r="E27">
        <v>12.939450000000001</v>
      </c>
      <c r="F27" s="87">
        <v>5.2099999999999999E-5</v>
      </c>
      <c r="G27" s="87">
        <v>2.3999999999999999E-6</v>
      </c>
    </row>
    <row r="28" spans="1:7">
      <c r="A28">
        <v>94</v>
      </c>
      <c r="B28">
        <v>14212</v>
      </c>
      <c r="C28">
        <v>0.15119099999999999</v>
      </c>
      <c r="D28">
        <v>4.5432949999999996</v>
      </c>
      <c r="E28">
        <v>9.5618420000000004</v>
      </c>
      <c r="F28">
        <v>1.0638E-2</v>
      </c>
      <c r="G28" s="87">
        <v>7.0400000000000004E-5</v>
      </c>
    </row>
    <row r="29" spans="1:7">
      <c r="A29">
        <v>5320</v>
      </c>
      <c r="B29">
        <v>54174</v>
      </c>
      <c r="C29">
        <v>1.0182999999999999E-2</v>
      </c>
      <c r="D29">
        <v>8.5792289999999998</v>
      </c>
      <c r="E29">
        <v>10.89996</v>
      </c>
      <c r="F29">
        <v>1.8799999999999999E-4</v>
      </c>
      <c r="G29" s="87">
        <v>1.8499999999999999E-5</v>
      </c>
    </row>
    <row r="30" spans="1:7">
      <c r="A30">
        <v>357</v>
      </c>
      <c r="B30">
        <v>20218</v>
      </c>
      <c r="C30">
        <v>5.6633000000000003E-2</v>
      </c>
      <c r="D30">
        <v>5.8777359999999996</v>
      </c>
      <c r="E30">
        <v>9.9143290000000004</v>
      </c>
      <c r="F30">
        <v>2.8010000000000001E-3</v>
      </c>
      <c r="G30" s="87">
        <v>4.9499999999999997E-5</v>
      </c>
    </row>
    <row r="31" spans="1:7">
      <c r="A31">
        <v>159</v>
      </c>
      <c r="B31">
        <v>11041</v>
      </c>
      <c r="C31">
        <v>6.9440000000000002E-2</v>
      </c>
      <c r="D31">
        <v>5.0689039999999999</v>
      </c>
      <c r="E31">
        <v>9.3093710000000005</v>
      </c>
      <c r="F31">
        <v>6.2890000000000003E-3</v>
      </c>
      <c r="G31" s="87">
        <v>9.0600000000000007E-5</v>
      </c>
    </row>
    <row r="32" spans="1:7">
      <c r="A32">
        <v>244</v>
      </c>
      <c r="B32">
        <v>22542</v>
      </c>
      <c r="C32">
        <v>9.2384999999999995E-2</v>
      </c>
      <c r="D32">
        <v>5.4971680000000003</v>
      </c>
      <c r="E32">
        <v>10.02314</v>
      </c>
      <c r="F32">
        <v>4.0980000000000001E-3</v>
      </c>
      <c r="G32" s="87">
        <v>4.4400000000000002E-5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8901-1E3A-46D5-81CC-6F5406990196}">
  <dimension ref="A1:C20"/>
  <sheetViews>
    <sheetView workbookViewId="0">
      <selection sqref="A1:C20"/>
    </sheetView>
  </sheetViews>
  <sheetFormatPr defaultRowHeight="15"/>
  <sheetData>
    <row r="1" spans="1:3">
      <c r="A1" t="s">
        <v>448</v>
      </c>
    </row>
    <row r="2" spans="1:3">
      <c r="A2" t="s">
        <v>449</v>
      </c>
    </row>
    <row r="3" spans="1:3">
      <c r="A3" t="s">
        <v>450</v>
      </c>
    </row>
    <row r="5" spans="1:3">
      <c r="A5" t="s">
        <v>451</v>
      </c>
      <c r="B5" t="s">
        <v>63</v>
      </c>
    </row>
    <row r="6" spans="1:3">
      <c r="A6" t="s">
        <v>452</v>
      </c>
      <c r="B6" t="s">
        <v>453</v>
      </c>
    </row>
    <row r="7" spans="1:3">
      <c r="A7" t="s">
        <v>454</v>
      </c>
      <c r="B7" t="s">
        <v>455</v>
      </c>
    </row>
    <row r="9" spans="1:3">
      <c r="A9" t="s">
        <v>456</v>
      </c>
      <c r="B9" t="s">
        <v>92</v>
      </c>
      <c r="C9" t="s">
        <v>93</v>
      </c>
    </row>
    <row r="10" spans="1:3">
      <c r="A10">
        <v>1970</v>
      </c>
      <c r="B10">
        <v>2.57</v>
      </c>
      <c r="C10">
        <v>0.77</v>
      </c>
    </row>
    <row r="11" spans="1:3">
      <c r="A11">
        <v>1971</v>
      </c>
      <c r="B11">
        <v>2.5</v>
      </c>
      <c r="C11">
        <v>0.74</v>
      </c>
    </row>
    <row r="12" spans="1:3">
      <c r="A12">
        <v>1972</v>
      </c>
      <c r="B12">
        <v>2.35</v>
      </c>
      <c r="C12">
        <v>0.72</v>
      </c>
    </row>
    <row r="13" spans="1:3">
      <c r="A13">
        <v>1973</v>
      </c>
      <c r="B13">
        <v>2.2999999999999998</v>
      </c>
      <c r="C13">
        <v>0.73</v>
      </c>
    </row>
    <row r="14" spans="1:3">
      <c r="A14">
        <v>1974</v>
      </c>
      <c r="B14">
        <v>2.25</v>
      </c>
      <c r="C14">
        <v>0.76</v>
      </c>
    </row>
    <row r="15" spans="1:3">
      <c r="A15">
        <v>1975</v>
      </c>
      <c r="B15">
        <v>2.2000000000000002</v>
      </c>
      <c r="C15">
        <v>0.75</v>
      </c>
    </row>
    <row r="16" spans="1:3">
      <c r="A16">
        <v>1976</v>
      </c>
      <c r="B16">
        <v>2.11</v>
      </c>
      <c r="C16">
        <v>1.08</v>
      </c>
    </row>
    <row r="17" spans="1:3">
      <c r="A17">
        <v>1977</v>
      </c>
      <c r="B17">
        <v>1.94</v>
      </c>
      <c r="C17">
        <v>1.81</v>
      </c>
    </row>
    <row r="18" spans="1:3">
      <c r="A18">
        <v>1978</v>
      </c>
      <c r="B18">
        <v>1.97</v>
      </c>
      <c r="C18">
        <v>1.39</v>
      </c>
    </row>
    <row r="19" spans="1:3">
      <c r="A19">
        <v>1979</v>
      </c>
      <c r="B19">
        <v>2.06</v>
      </c>
      <c r="C19">
        <v>1.2</v>
      </c>
    </row>
    <row r="20" spans="1:3">
      <c r="A20">
        <v>1980</v>
      </c>
      <c r="B20">
        <v>2.02</v>
      </c>
      <c r="C20">
        <v>1.17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79F9-A773-4250-BC8B-40EE02B20A18}">
  <dimension ref="A1:D20"/>
  <sheetViews>
    <sheetView workbookViewId="0">
      <selection sqref="A1:D20"/>
    </sheetView>
  </sheetViews>
  <sheetFormatPr defaultRowHeight="15"/>
  <sheetData>
    <row r="1" spans="1:4">
      <c r="B1" t="s">
        <v>457</v>
      </c>
    </row>
    <row r="3" spans="1:4">
      <c r="B3" t="s">
        <v>458</v>
      </c>
      <c r="C3" t="s">
        <v>459</v>
      </c>
      <c r="D3" t="s">
        <v>460</v>
      </c>
    </row>
    <row r="4" spans="1:4">
      <c r="B4" t="s">
        <v>461</v>
      </c>
      <c r="C4" t="s">
        <v>462</v>
      </c>
      <c r="D4" t="s">
        <v>461</v>
      </c>
    </row>
    <row r="5" spans="1:4">
      <c r="A5" t="s">
        <v>63</v>
      </c>
      <c r="B5" t="s">
        <v>92</v>
      </c>
      <c r="C5" t="s">
        <v>11</v>
      </c>
      <c r="D5" t="s">
        <v>463</v>
      </c>
    </row>
    <row r="6" spans="1:4">
      <c r="A6">
        <v>1958</v>
      </c>
      <c r="B6">
        <v>16607.7</v>
      </c>
      <c r="C6">
        <v>275.5</v>
      </c>
      <c r="D6">
        <v>17803.7</v>
      </c>
    </row>
    <row r="7" spans="1:4">
      <c r="A7">
        <v>1959</v>
      </c>
      <c r="B7">
        <v>17511.3</v>
      </c>
      <c r="C7">
        <v>274.39999999999998</v>
      </c>
      <c r="D7">
        <v>18096.8</v>
      </c>
    </row>
    <row r="8" spans="1:4">
      <c r="A8">
        <v>1960</v>
      </c>
      <c r="B8">
        <v>20171.2</v>
      </c>
      <c r="C8">
        <v>269.7</v>
      </c>
      <c r="D8">
        <v>18271.8</v>
      </c>
    </row>
    <row r="9" spans="1:4">
      <c r="A9">
        <v>1961</v>
      </c>
      <c r="B9">
        <v>20932.900000000001</v>
      </c>
      <c r="C9">
        <v>267</v>
      </c>
      <c r="D9">
        <v>19167.3</v>
      </c>
    </row>
    <row r="10" spans="1:4">
      <c r="A10">
        <v>1962</v>
      </c>
      <c r="B10">
        <v>20406</v>
      </c>
      <c r="C10">
        <v>267.8</v>
      </c>
      <c r="D10">
        <v>19647.599999999999</v>
      </c>
    </row>
    <row r="11" spans="1:4">
      <c r="A11">
        <v>1963</v>
      </c>
      <c r="B11">
        <v>20831.599999999999</v>
      </c>
      <c r="C11">
        <v>275</v>
      </c>
      <c r="D11">
        <v>20803.5</v>
      </c>
    </row>
    <row r="12" spans="1:4">
      <c r="A12">
        <v>1964</v>
      </c>
      <c r="B12">
        <v>24806.3</v>
      </c>
      <c r="C12">
        <v>283</v>
      </c>
      <c r="D12">
        <v>22076.6</v>
      </c>
    </row>
    <row r="13" spans="1:4">
      <c r="A13">
        <v>1965</v>
      </c>
      <c r="B13">
        <v>26465.8</v>
      </c>
      <c r="C13">
        <v>300.7</v>
      </c>
      <c r="D13">
        <v>23445.200000000001</v>
      </c>
    </row>
    <row r="14" spans="1:4">
      <c r="A14">
        <v>1966</v>
      </c>
      <c r="B14">
        <v>27403</v>
      </c>
      <c r="C14">
        <v>307.5</v>
      </c>
      <c r="D14">
        <v>24939</v>
      </c>
    </row>
    <row r="15" spans="1:4">
      <c r="A15">
        <v>1967</v>
      </c>
      <c r="B15">
        <v>28628.7</v>
      </c>
      <c r="C15">
        <v>303.7</v>
      </c>
      <c r="D15">
        <v>26713.7</v>
      </c>
    </row>
    <row r="16" spans="1:4">
      <c r="A16">
        <v>1968</v>
      </c>
      <c r="B16">
        <v>29904.5</v>
      </c>
      <c r="C16">
        <v>304.7</v>
      </c>
      <c r="D16">
        <v>29957.8</v>
      </c>
    </row>
    <row r="17" spans="1:4">
      <c r="A17">
        <v>1969</v>
      </c>
      <c r="B17">
        <v>27508.2</v>
      </c>
      <c r="C17">
        <v>298.60000000000002</v>
      </c>
      <c r="D17">
        <v>31575.9</v>
      </c>
    </row>
    <row r="18" spans="1:4">
      <c r="A18">
        <v>1970</v>
      </c>
      <c r="B18">
        <v>29035.5</v>
      </c>
      <c r="C18">
        <v>295.5</v>
      </c>
      <c r="D18">
        <v>33474.5</v>
      </c>
    </row>
    <row r="19" spans="1:4">
      <c r="A19">
        <v>1971</v>
      </c>
      <c r="B19">
        <v>29281.5</v>
      </c>
      <c r="C19">
        <v>299</v>
      </c>
      <c r="D19">
        <v>34821.800000000003</v>
      </c>
    </row>
    <row r="20" spans="1:4">
      <c r="A20">
        <v>1972</v>
      </c>
      <c r="B20">
        <v>31535.8</v>
      </c>
      <c r="C20">
        <v>288.10000000000002</v>
      </c>
      <c r="D20">
        <v>41794.300000000003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C926D-62B2-4449-BDD1-D997C893AE51}">
  <dimension ref="A1:B17"/>
  <sheetViews>
    <sheetView workbookViewId="0">
      <selection sqref="A1:B17"/>
    </sheetView>
  </sheetViews>
  <sheetFormatPr defaultRowHeight="15"/>
  <sheetData>
    <row r="1" spans="1:2">
      <c r="A1" t="s">
        <v>464</v>
      </c>
    </row>
    <row r="2" spans="1:2">
      <c r="A2" t="s">
        <v>465</v>
      </c>
    </row>
    <row r="4" spans="1:2">
      <c r="A4" t="s">
        <v>466</v>
      </c>
      <c r="B4" t="s">
        <v>467</v>
      </c>
    </row>
    <row r="5" spans="1:2">
      <c r="A5" t="s">
        <v>468</v>
      </c>
      <c r="B5" t="s">
        <v>469</v>
      </c>
    </row>
    <row r="7" spans="1:2">
      <c r="A7" t="s">
        <v>93</v>
      </c>
      <c r="B7" t="s">
        <v>92</v>
      </c>
    </row>
    <row r="8" spans="1:2">
      <c r="A8">
        <v>1</v>
      </c>
      <c r="B8">
        <v>193</v>
      </c>
    </row>
    <row r="9" spans="1:2">
      <c r="A9">
        <v>2</v>
      </c>
      <c r="B9">
        <v>226</v>
      </c>
    </row>
    <row r="10" spans="1:2">
      <c r="A10">
        <v>3</v>
      </c>
      <c r="B10">
        <v>240</v>
      </c>
    </row>
    <row r="11" spans="1:2">
      <c r="A11">
        <v>4</v>
      </c>
      <c r="B11">
        <v>244</v>
      </c>
    </row>
    <row r="12" spans="1:2">
      <c r="A12">
        <v>5</v>
      </c>
      <c r="B12">
        <v>257</v>
      </c>
    </row>
    <row r="13" spans="1:2">
      <c r="A13">
        <v>6</v>
      </c>
      <c r="B13">
        <v>260</v>
      </c>
    </row>
    <row r="14" spans="1:2">
      <c r="A14">
        <v>7</v>
      </c>
      <c r="B14">
        <v>274</v>
      </c>
    </row>
    <row r="15" spans="1:2">
      <c r="A15">
        <v>8</v>
      </c>
      <c r="B15">
        <v>297</v>
      </c>
    </row>
    <row r="16" spans="1:2">
      <c r="A16">
        <v>9</v>
      </c>
      <c r="B16">
        <v>350</v>
      </c>
    </row>
    <row r="17" spans="1:2">
      <c r="A17">
        <v>10</v>
      </c>
      <c r="B17">
        <v>420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7C06-FCF6-4486-90B1-EE7A16D91C23}">
  <dimension ref="A1:C4"/>
  <sheetViews>
    <sheetView workbookViewId="0">
      <selection sqref="A1:C4"/>
    </sheetView>
  </sheetViews>
  <sheetFormatPr defaultRowHeight="15"/>
  <sheetData>
    <row r="1" spans="1:3">
      <c r="A1" t="s">
        <v>92</v>
      </c>
      <c r="B1" t="s">
        <v>11</v>
      </c>
      <c r="C1" t="s">
        <v>463</v>
      </c>
    </row>
    <row r="2" spans="1:3">
      <c r="A2">
        <v>1</v>
      </c>
      <c r="B2">
        <v>1</v>
      </c>
      <c r="C2">
        <v>2</v>
      </c>
    </row>
    <row r="3" spans="1:3">
      <c r="A3">
        <v>3</v>
      </c>
      <c r="B3">
        <v>2</v>
      </c>
      <c r="C3">
        <v>1</v>
      </c>
    </row>
    <row r="4" spans="1:3">
      <c r="A4">
        <v>8</v>
      </c>
      <c r="B4">
        <v>3</v>
      </c>
      <c r="C4">
        <v>-3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D77D-1D04-472B-B255-F18F28726C1E}">
  <dimension ref="A1:F28"/>
  <sheetViews>
    <sheetView workbookViewId="0">
      <selection sqref="A1:F28"/>
    </sheetView>
  </sheetViews>
  <sheetFormatPr defaultRowHeight="15"/>
  <sheetData>
    <row r="1" spans="1:6">
      <c r="A1" t="s">
        <v>470</v>
      </c>
    </row>
    <row r="2" spans="1:6">
      <c r="A2" t="s">
        <v>471</v>
      </c>
    </row>
    <row r="4" spans="1:6">
      <c r="A4" t="s">
        <v>472</v>
      </c>
    </row>
    <row r="5" spans="1:6">
      <c r="A5" t="s">
        <v>473</v>
      </c>
    </row>
    <row r="6" spans="1:6">
      <c r="A6" t="s">
        <v>474</v>
      </c>
    </row>
    <row r="7" spans="1:6">
      <c r="A7" t="s">
        <v>475</v>
      </c>
    </row>
    <row r="8" spans="1:6">
      <c r="A8" t="s">
        <v>476</v>
      </c>
    </row>
    <row r="9" spans="1:6">
      <c r="A9" t="s">
        <v>477</v>
      </c>
    </row>
    <row r="10" spans="1:6">
      <c r="A10" t="s">
        <v>478</v>
      </c>
    </row>
    <row r="12" spans="1:6">
      <c r="A12" t="s">
        <v>456</v>
      </c>
      <c r="B12" t="s">
        <v>92</v>
      </c>
      <c r="C12" t="s">
        <v>11</v>
      </c>
      <c r="D12" t="s">
        <v>463</v>
      </c>
      <c r="E12" t="s">
        <v>479</v>
      </c>
      <c r="F12" t="s">
        <v>480</v>
      </c>
    </row>
    <row r="13" spans="1:6">
      <c r="A13">
        <v>1971.3</v>
      </c>
      <c r="B13">
        <v>11484</v>
      </c>
      <c r="C13">
        <v>2.2599999999999998</v>
      </c>
      <c r="D13">
        <v>3.49</v>
      </c>
      <c r="E13">
        <v>158.11000000000001</v>
      </c>
      <c r="F13">
        <v>1</v>
      </c>
    </row>
    <row r="14" spans="1:6">
      <c r="A14">
        <v>1971.4</v>
      </c>
      <c r="B14">
        <v>9348</v>
      </c>
      <c r="C14">
        <v>2.54</v>
      </c>
      <c r="D14">
        <v>2.85</v>
      </c>
      <c r="E14">
        <v>173.36</v>
      </c>
      <c r="F14">
        <v>2</v>
      </c>
    </row>
    <row r="15" spans="1:6">
      <c r="A15">
        <v>1972.1</v>
      </c>
      <c r="B15">
        <v>8429</v>
      </c>
      <c r="C15">
        <v>3.07</v>
      </c>
      <c r="D15">
        <v>4.0599999999999996</v>
      </c>
      <c r="E15">
        <v>165.26</v>
      </c>
      <c r="F15">
        <v>3</v>
      </c>
    </row>
    <row r="16" spans="1:6">
      <c r="A16">
        <v>1972.2</v>
      </c>
      <c r="B16">
        <v>10079</v>
      </c>
      <c r="C16">
        <v>2.91</v>
      </c>
      <c r="D16">
        <v>3.64</v>
      </c>
      <c r="E16">
        <v>172.92</v>
      </c>
      <c r="F16">
        <v>4</v>
      </c>
    </row>
    <row r="17" spans="1:6">
      <c r="A17">
        <v>1972.3</v>
      </c>
      <c r="B17">
        <v>9240</v>
      </c>
      <c r="C17">
        <v>2.73</v>
      </c>
      <c r="D17">
        <v>3.21</v>
      </c>
      <c r="E17">
        <v>178.46</v>
      </c>
      <c r="F17">
        <v>5</v>
      </c>
    </row>
    <row r="18" spans="1:6">
      <c r="A18">
        <v>1972.4</v>
      </c>
      <c r="B18">
        <v>8862</v>
      </c>
      <c r="C18">
        <v>2.77</v>
      </c>
      <c r="D18">
        <v>3.66</v>
      </c>
      <c r="E18">
        <v>198.62</v>
      </c>
      <c r="F18">
        <v>6</v>
      </c>
    </row>
    <row r="19" spans="1:6">
      <c r="A19">
        <v>1973.1</v>
      </c>
      <c r="B19">
        <v>6216</v>
      </c>
      <c r="C19">
        <v>3.59</v>
      </c>
      <c r="D19">
        <v>3.76</v>
      </c>
      <c r="E19">
        <v>186.28</v>
      </c>
      <c r="F19">
        <v>7</v>
      </c>
    </row>
    <row r="20" spans="1:6">
      <c r="A20">
        <v>1973.2</v>
      </c>
      <c r="B20">
        <v>8253</v>
      </c>
      <c r="C20">
        <v>3.23</v>
      </c>
      <c r="D20">
        <v>3.49</v>
      </c>
      <c r="E20">
        <v>188.98</v>
      </c>
      <c r="F20">
        <v>8</v>
      </c>
    </row>
    <row r="21" spans="1:6">
      <c r="A21">
        <v>1973.3</v>
      </c>
      <c r="B21">
        <v>8038</v>
      </c>
      <c r="C21">
        <v>2.6</v>
      </c>
      <c r="D21">
        <v>3.13</v>
      </c>
      <c r="E21">
        <v>180.49</v>
      </c>
      <c r="F21">
        <v>9</v>
      </c>
    </row>
    <row r="22" spans="1:6">
      <c r="A22">
        <v>1973.4</v>
      </c>
      <c r="B22">
        <v>7476</v>
      </c>
      <c r="C22">
        <v>2.89</v>
      </c>
      <c r="D22">
        <v>3.2</v>
      </c>
      <c r="E22">
        <v>183.33</v>
      </c>
      <c r="F22">
        <v>10</v>
      </c>
    </row>
    <row r="23" spans="1:6">
      <c r="A23">
        <v>1974.1</v>
      </c>
      <c r="B23">
        <v>5911</v>
      </c>
      <c r="C23">
        <v>3.77</v>
      </c>
      <c r="D23">
        <v>3.65</v>
      </c>
      <c r="E23">
        <v>181.87</v>
      </c>
      <c r="F23">
        <v>11</v>
      </c>
    </row>
    <row r="24" spans="1:6">
      <c r="A24">
        <v>1974.2</v>
      </c>
      <c r="B24">
        <v>7950</v>
      </c>
      <c r="C24">
        <v>3.64</v>
      </c>
      <c r="D24">
        <v>3.6</v>
      </c>
      <c r="E24">
        <v>185</v>
      </c>
      <c r="F24">
        <v>12</v>
      </c>
    </row>
    <row r="25" spans="1:6">
      <c r="A25">
        <v>1974.3</v>
      </c>
      <c r="B25">
        <v>6134</v>
      </c>
      <c r="C25">
        <v>2.82</v>
      </c>
      <c r="D25">
        <v>2.94</v>
      </c>
      <c r="E25">
        <v>184</v>
      </c>
      <c r="F25">
        <v>13</v>
      </c>
    </row>
    <row r="26" spans="1:6">
      <c r="A26">
        <v>1974.4</v>
      </c>
      <c r="B26">
        <v>5868</v>
      </c>
      <c r="C26">
        <v>2.96</v>
      </c>
      <c r="D26">
        <v>3.12</v>
      </c>
      <c r="E26">
        <v>188.2</v>
      </c>
      <c r="F26">
        <v>14</v>
      </c>
    </row>
    <row r="27" spans="1:6">
      <c r="A27">
        <v>1975.1</v>
      </c>
      <c r="B27">
        <v>3160</v>
      </c>
      <c r="C27">
        <v>4.24</v>
      </c>
      <c r="D27">
        <v>3.58</v>
      </c>
      <c r="E27">
        <v>175.67</v>
      </c>
      <c r="F27">
        <v>15</v>
      </c>
    </row>
    <row r="28" spans="1:6">
      <c r="A28">
        <v>1975.2</v>
      </c>
      <c r="B28">
        <v>5872</v>
      </c>
      <c r="C28">
        <v>3.69</v>
      </c>
      <c r="D28">
        <v>3.53</v>
      </c>
      <c r="E28">
        <v>188</v>
      </c>
      <c r="F28">
        <v>16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6A74-C30E-406B-A061-5F42473ED17D}">
  <dimension ref="A1:E41"/>
  <sheetViews>
    <sheetView topLeftCell="A22" workbookViewId="0">
      <selection sqref="A1:E41"/>
    </sheetView>
  </sheetViews>
  <sheetFormatPr defaultRowHeight="15"/>
  <sheetData>
    <row r="1" spans="1:5">
      <c r="A1" t="s">
        <v>481</v>
      </c>
    </row>
    <row r="2" spans="1:5">
      <c r="A2" t="s">
        <v>482</v>
      </c>
    </row>
    <row r="4" spans="1:5">
      <c r="A4" t="s">
        <v>483</v>
      </c>
      <c r="B4" t="s">
        <v>484</v>
      </c>
    </row>
    <row r="5" spans="1:5">
      <c r="A5" t="s">
        <v>485</v>
      </c>
    </row>
    <row r="6" spans="1:5">
      <c r="A6" t="s">
        <v>486</v>
      </c>
    </row>
    <row r="7" spans="1:5">
      <c r="A7" t="s">
        <v>487</v>
      </c>
    </row>
    <row r="8" spans="1:5">
      <c r="A8" t="s">
        <v>488</v>
      </c>
    </row>
    <row r="10" spans="1:5">
      <c r="A10" t="s">
        <v>92</v>
      </c>
      <c r="B10" t="s">
        <v>11</v>
      </c>
      <c r="C10" t="s">
        <v>463</v>
      </c>
      <c r="D10" t="s">
        <v>479</v>
      </c>
      <c r="E10" t="s">
        <v>480</v>
      </c>
    </row>
    <row r="11" spans="1:5">
      <c r="A11">
        <v>8.01</v>
      </c>
      <c r="B11">
        <v>4.8899999999999997</v>
      </c>
      <c r="C11">
        <v>5.52</v>
      </c>
      <c r="D11">
        <v>487.67</v>
      </c>
      <c r="E11">
        <v>1</v>
      </c>
    </row>
    <row r="12" spans="1:5">
      <c r="A12">
        <v>9.06</v>
      </c>
      <c r="B12">
        <v>4.83</v>
      </c>
      <c r="C12">
        <v>5.05</v>
      </c>
      <c r="D12">
        <v>490.59</v>
      </c>
      <c r="E12">
        <v>2</v>
      </c>
    </row>
    <row r="13" spans="1:5">
      <c r="A13">
        <v>10.31</v>
      </c>
      <c r="B13">
        <v>4.68</v>
      </c>
      <c r="C13">
        <v>5.41</v>
      </c>
      <c r="D13">
        <v>533.54999999999995</v>
      </c>
      <c r="E13">
        <v>3</v>
      </c>
    </row>
    <row r="14" spans="1:5">
      <c r="A14">
        <v>11.76</v>
      </c>
      <c r="B14">
        <v>4.42</v>
      </c>
      <c r="C14">
        <v>6.16</v>
      </c>
      <c r="D14">
        <v>576.57000000000005</v>
      </c>
      <c r="E14">
        <v>4</v>
      </c>
    </row>
    <row r="15" spans="1:5">
      <c r="A15">
        <v>12.43</v>
      </c>
      <c r="B15">
        <v>4.3600000000000003</v>
      </c>
      <c r="C15">
        <v>6.26</v>
      </c>
      <c r="D15">
        <v>598.62</v>
      </c>
      <c r="E15">
        <v>5</v>
      </c>
    </row>
    <row r="16" spans="1:5">
      <c r="A16">
        <v>13.31</v>
      </c>
      <c r="B16">
        <v>4.55</v>
      </c>
      <c r="C16">
        <v>6.34</v>
      </c>
      <c r="D16">
        <v>621.77</v>
      </c>
      <c r="E16">
        <v>6</v>
      </c>
    </row>
    <row r="17" spans="1:5">
      <c r="A17">
        <v>13.1</v>
      </c>
      <c r="B17">
        <v>4.66</v>
      </c>
      <c r="C17">
        <v>6.81</v>
      </c>
      <c r="D17">
        <v>613.66999999999996</v>
      </c>
      <c r="E17">
        <v>7</v>
      </c>
    </row>
    <row r="18" spans="1:5">
      <c r="A18">
        <v>14.94</v>
      </c>
      <c r="B18">
        <v>4.54</v>
      </c>
      <c r="C18">
        <v>7.15</v>
      </c>
      <c r="D18">
        <v>654.79999999999995</v>
      </c>
      <c r="E18">
        <v>8</v>
      </c>
    </row>
    <row r="19" spans="1:5">
      <c r="A19">
        <v>16.170000000000002</v>
      </c>
      <c r="B19">
        <v>4.4400000000000004</v>
      </c>
      <c r="C19">
        <v>7.17</v>
      </c>
      <c r="D19">
        <v>668.84</v>
      </c>
      <c r="E19">
        <v>9</v>
      </c>
    </row>
    <row r="20" spans="1:5">
      <c r="A20">
        <v>14.71</v>
      </c>
      <c r="B20">
        <v>4.75</v>
      </c>
      <c r="C20">
        <v>6.71</v>
      </c>
      <c r="D20">
        <v>681.02</v>
      </c>
      <c r="E20">
        <v>10</v>
      </c>
    </row>
    <row r="21" spans="1:5">
      <c r="A21">
        <v>13.2</v>
      </c>
      <c r="B21">
        <v>4.5599999999999996</v>
      </c>
      <c r="C21">
        <v>7.05</v>
      </c>
      <c r="D21">
        <v>679.53</v>
      </c>
      <c r="E21">
        <v>11</v>
      </c>
    </row>
    <row r="22" spans="1:5">
      <c r="A22">
        <v>13.19</v>
      </c>
      <c r="B22">
        <v>4.29</v>
      </c>
      <c r="C22">
        <v>7.04</v>
      </c>
      <c r="D22">
        <v>720.53</v>
      </c>
      <c r="E22">
        <v>12</v>
      </c>
    </row>
    <row r="23" spans="1:5">
      <c r="A23">
        <v>11.7</v>
      </c>
      <c r="B23">
        <v>4.1900000000000004</v>
      </c>
      <c r="C23">
        <v>7.18</v>
      </c>
      <c r="D23">
        <v>736.86</v>
      </c>
      <c r="E23">
        <v>13</v>
      </c>
    </row>
    <row r="24" spans="1:5">
      <c r="A24">
        <v>10.99</v>
      </c>
      <c r="B24">
        <v>4.17</v>
      </c>
      <c r="C24">
        <v>7.33</v>
      </c>
      <c r="D24">
        <v>755.34</v>
      </c>
      <c r="E24">
        <v>14</v>
      </c>
    </row>
    <row r="25" spans="1:5">
      <c r="A25">
        <v>10.8</v>
      </c>
      <c r="B25">
        <v>4.1100000000000003</v>
      </c>
      <c r="C25">
        <v>7.54</v>
      </c>
      <c r="D25">
        <v>799.15</v>
      </c>
      <c r="E25">
        <v>15</v>
      </c>
    </row>
    <row r="26" spans="1:5">
      <c r="A26">
        <v>10.66</v>
      </c>
      <c r="B26">
        <v>4.04</v>
      </c>
      <c r="C26">
        <v>7.61</v>
      </c>
      <c r="D26">
        <v>830.7</v>
      </c>
      <c r="E26">
        <v>16</v>
      </c>
    </row>
    <row r="27" spans="1:5">
      <c r="A27">
        <v>10.75</v>
      </c>
      <c r="B27">
        <v>3.96</v>
      </c>
      <c r="C27">
        <v>7.8</v>
      </c>
      <c r="D27">
        <v>874.29</v>
      </c>
      <c r="E27">
        <v>17</v>
      </c>
    </row>
    <row r="28" spans="1:5">
      <c r="A28">
        <v>9.74</v>
      </c>
      <c r="B28">
        <v>3.85</v>
      </c>
      <c r="C28">
        <v>8.3000000000000007</v>
      </c>
      <c r="D28">
        <v>925.86</v>
      </c>
      <c r="E28">
        <v>18</v>
      </c>
    </row>
    <row r="29" spans="1:5">
      <c r="A29">
        <v>10.31</v>
      </c>
      <c r="B29">
        <v>3.75</v>
      </c>
      <c r="C29">
        <v>8.81</v>
      </c>
      <c r="D29">
        <v>980.98</v>
      </c>
      <c r="E29">
        <v>19</v>
      </c>
    </row>
    <row r="30" spans="1:5">
      <c r="A30">
        <v>8.8800000000000008</v>
      </c>
      <c r="B30">
        <v>3.69</v>
      </c>
      <c r="C30">
        <v>8.66</v>
      </c>
      <c r="D30">
        <v>1007.72</v>
      </c>
      <c r="E30">
        <v>20</v>
      </c>
    </row>
    <row r="31" spans="1:5">
      <c r="A31">
        <v>8.8800000000000008</v>
      </c>
      <c r="B31">
        <v>3.56</v>
      </c>
      <c r="C31">
        <v>8.7799999999999994</v>
      </c>
      <c r="D31">
        <v>1051.83</v>
      </c>
      <c r="E31">
        <v>21</v>
      </c>
    </row>
    <row r="32" spans="1:5">
      <c r="A32">
        <v>9.6999999999999993</v>
      </c>
      <c r="B32">
        <v>3.56</v>
      </c>
      <c r="C32">
        <v>9.18</v>
      </c>
      <c r="D32">
        <v>1078.76</v>
      </c>
      <c r="E32">
        <v>22</v>
      </c>
    </row>
    <row r="33" spans="1:5">
      <c r="A33">
        <v>7.69</v>
      </c>
      <c r="B33">
        <v>3.48</v>
      </c>
      <c r="C33">
        <v>9.0299999999999994</v>
      </c>
      <c r="D33">
        <v>1075.31</v>
      </c>
      <c r="E33">
        <v>23</v>
      </c>
    </row>
    <row r="34" spans="1:5">
      <c r="A34">
        <v>6.92</v>
      </c>
      <c r="B34">
        <v>3.53</v>
      </c>
      <c r="C34">
        <v>9</v>
      </c>
      <c r="D34">
        <v>1107.48</v>
      </c>
      <c r="E34">
        <v>24</v>
      </c>
    </row>
    <row r="35" spans="1:5">
      <c r="A35">
        <v>7.54</v>
      </c>
      <c r="B35">
        <v>3.39</v>
      </c>
      <c r="C35">
        <v>8.7799999999999994</v>
      </c>
      <c r="D35">
        <v>1171.0999999999999</v>
      </c>
      <c r="E35">
        <v>25</v>
      </c>
    </row>
    <row r="36" spans="1:5">
      <c r="A36">
        <v>7.47</v>
      </c>
      <c r="B36">
        <v>3.68</v>
      </c>
      <c r="C36">
        <v>8.3800000000000008</v>
      </c>
      <c r="D36">
        <v>1234.97</v>
      </c>
      <c r="E36">
        <v>26</v>
      </c>
    </row>
    <row r="37" spans="1:5">
      <c r="A37">
        <v>8.6300000000000008</v>
      </c>
      <c r="B37">
        <v>5.92</v>
      </c>
      <c r="C37">
        <v>8.01</v>
      </c>
      <c r="D37">
        <v>1217.81</v>
      </c>
      <c r="E37">
        <v>27</v>
      </c>
    </row>
    <row r="38" spans="1:5">
      <c r="A38">
        <v>9.2100000000000009</v>
      </c>
      <c r="B38">
        <v>6.03</v>
      </c>
      <c r="C38">
        <v>7.78</v>
      </c>
      <c r="D38">
        <v>1202.3599999999999</v>
      </c>
      <c r="E38">
        <v>28</v>
      </c>
    </row>
    <row r="39" spans="1:5">
      <c r="A39">
        <v>9.23</v>
      </c>
      <c r="B39">
        <v>6.12</v>
      </c>
      <c r="C39">
        <v>7.88</v>
      </c>
      <c r="D39">
        <v>1271.01</v>
      </c>
      <c r="E39">
        <v>29</v>
      </c>
    </row>
    <row r="40" spans="1:5">
      <c r="A40">
        <v>9.9600000000000009</v>
      </c>
      <c r="B40">
        <v>6.05</v>
      </c>
      <c r="C40">
        <v>7.88</v>
      </c>
      <c r="D40">
        <v>1332.67</v>
      </c>
      <c r="E40">
        <v>30</v>
      </c>
    </row>
    <row r="41" spans="1:5">
      <c r="A41">
        <v>10.78</v>
      </c>
      <c r="B41">
        <v>5.89</v>
      </c>
      <c r="C41">
        <v>8.67</v>
      </c>
      <c r="D41">
        <v>1385.1</v>
      </c>
      <c r="E41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9A1B5-AAC3-4A3A-975F-C0B89144AB64}">
  <dimension ref="A1:L25"/>
  <sheetViews>
    <sheetView workbookViewId="0">
      <selection activeCell="K1" sqref="K1"/>
    </sheetView>
  </sheetViews>
  <sheetFormatPr defaultRowHeight="15"/>
  <sheetData>
    <row r="1" spans="1:12">
      <c r="A1" s="7" t="s">
        <v>71</v>
      </c>
      <c r="B1" s="8"/>
      <c r="C1" s="8"/>
      <c r="D1" s="8"/>
      <c r="E1" s="8"/>
      <c r="F1" s="8"/>
      <c r="G1" s="8"/>
      <c r="H1" s="8"/>
      <c r="I1" s="8"/>
      <c r="J1" s="8"/>
    </row>
    <row r="2" spans="1:12">
      <c r="A2" s="7" t="s">
        <v>72</v>
      </c>
      <c r="B2" s="8"/>
      <c r="C2" s="8"/>
      <c r="D2" s="8"/>
      <c r="E2" s="8"/>
      <c r="F2" s="8"/>
      <c r="G2" s="8"/>
      <c r="H2" s="8"/>
      <c r="I2" s="8"/>
      <c r="J2" s="8"/>
    </row>
    <row r="3" spans="1:12" ht="33.75">
      <c r="A3" s="9" t="s">
        <v>73</v>
      </c>
      <c r="B3" s="10" t="s">
        <v>74</v>
      </c>
      <c r="C3" s="11" t="s">
        <v>75</v>
      </c>
      <c r="D3" s="11" t="s">
        <v>76</v>
      </c>
      <c r="E3" s="11" t="s">
        <v>77</v>
      </c>
      <c r="F3" s="11" t="s">
        <v>78</v>
      </c>
      <c r="G3" s="11" t="s">
        <v>79</v>
      </c>
      <c r="H3" s="11" t="s">
        <v>80</v>
      </c>
      <c r="I3" s="11" t="s">
        <v>81</v>
      </c>
      <c r="J3" s="10" t="s">
        <v>82</v>
      </c>
    </row>
    <row r="4" spans="1:12">
      <c r="A4" s="15">
        <v>1985</v>
      </c>
      <c r="B4" s="12">
        <v>0.70030000000000003</v>
      </c>
      <c r="C4" s="12">
        <v>1.3658999999999999</v>
      </c>
      <c r="D4" s="12">
        <v>2.9434</v>
      </c>
      <c r="E4" s="13">
        <v>238.47</v>
      </c>
      <c r="F4" s="14">
        <v>0.25700000000000001</v>
      </c>
      <c r="G4" s="13">
        <v>872.45</v>
      </c>
      <c r="H4" s="12">
        <v>8.6031999999999993</v>
      </c>
      <c r="I4" s="12">
        <v>2.4552</v>
      </c>
      <c r="J4" s="12">
        <v>1.2974000000000001</v>
      </c>
      <c r="L4" s="16"/>
    </row>
    <row r="5" spans="1:12">
      <c r="A5" s="15">
        <v>1986</v>
      </c>
      <c r="B5" s="12">
        <v>0.67090000000000005</v>
      </c>
      <c r="C5" s="12">
        <v>1.3895999999999999</v>
      </c>
      <c r="D5" s="12">
        <v>3.4615999999999998</v>
      </c>
      <c r="E5" s="13">
        <v>168.35</v>
      </c>
      <c r="F5" s="14">
        <v>0.61199999999999999</v>
      </c>
      <c r="G5" s="13">
        <v>884.6</v>
      </c>
      <c r="H5" s="12">
        <v>7.1273</v>
      </c>
      <c r="I5" s="12">
        <v>1.7979000000000001</v>
      </c>
      <c r="J5" s="12">
        <v>1.4677</v>
      </c>
    </row>
    <row r="6" spans="1:12">
      <c r="A6" s="15">
        <v>1987</v>
      </c>
      <c r="B6" s="12">
        <v>0.70140000000000002</v>
      </c>
      <c r="C6" s="12">
        <v>1.3259000000000001</v>
      </c>
      <c r="D6" s="12">
        <v>3.7313999999999998</v>
      </c>
      <c r="E6" s="13">
        <v>144.6</v>
      </c>
      <c r="F6" s="14">
        <v>1.3779999999999999</v>
      </c>
      <c r="G6" s="13">
        <v>826.16</v>
      </c>
      <c r="H6" s="12">
        <v>6.3468999999999998</v>
      </c>
      <c r="I6" s="12">
        <v>1.4918</v>
      </c>
      <c r="J6" s="12">
        <v>1.6397999999999999</v>
      </c>
    </row>
    <row r="7" spans="1:12">
      <c r="A7" s="15">
        <v>1988</v>
      </c>
      <c r="B7" s="12">
        <v>0.78410000000000002</v>
      </c>
      <c r="C7" s="12">
        <v>1.2305999999999999</v>
      </c>
      <c r="D7" s="12">
        <v>3.7313999999999998</v>
      </c>
      <c r="E7" s="13">
        <v>128.16999999999999</v>
      </c>
      <c r="F7" s="14">
        <v>2.2730000000000001</v>
      </c>
      <c r="G7" s="13">
        <v>734.52</v>
      </c>
      <c r="H7" s="12">
        <v>6.1369999999999996</v>
      </c>
      <c r="I7" s="12">
        <v>1.4642999999999999</v>
      </c>
      <c r="J7" s="12">
        <v>1.7813000000000001</v>
      </c>
    </row>
    <row r="8" spans="1:12">
      <c r="A8" s="15">
        <v>1989</v>
      </c>
      <c r="B8" s="12">
        <v>0.79190000000000005</v>
      </c>
      <c r="C8" s="12">
        <v>1.1841999999999999</v>
      </c>
      <c r="D8" s="12">
        <v>3.7673000000000001</v>
      </c>
      <c r="E8" s="13">
        <v>138.07</v>
      </c>
      <c r="F8" s="14">
        <v>2.4609999999999999</v>
      </c>
      <c r="G8" s="13">
        <v>674.13</v>
      </c>
      <c r="H8" s="12">
        <v>6.4558999999999997</v>
      </c>
      <c r="I8" s="12">
        <v>1.6369</v>
      </c>
      <c r="J8" s="12">
        <v>1.6382000000000001</v>
      </c>
    </row>
    <row r="9" spans="1:12">
      <c r="A9" s="15">
        <v>1990</v>
      </c>
      <c r="B9" s="12">
        <v>0.78069999999999995</v>
      </c>
      <c r="C9" s="12">
        <v>1.1668000000000001</v>
      </c>
      <c r="D9" s="12">
        <v>4.7920999999999996</v>
      </c>
      <c r="E9" s="13">
        <v>145</v>
      </c>
      <c r="F9" s="14">
        <v>2.8130000000000002</v>
      </c>
      <c r="G9" s="13">
        <v>710.64</v>
      </c>
      <c r="H9" s="12">
        <v>5.9230999999999998</v>
      </c>
      <c r="I9" s="12">
        <v>1.3900999999999999</v>
      </c>
      <c r="J9" s="12">
        <v>1.7841</v>
      </c>
    </row>
    <row r="10" spans="1:12">
      <c r="A10" s="15">
        <v>1991</v>
      </c>
      <c r="B10" s="12">
        <v>0.77869999999999995</v>
      </c>
      <c r="C10" s="12">
        <v>1.1459999999999999</v>
      </c>
      <c r="D10" s="12">
        <v>5.3337000000000003</v>
      </c>
      <c r="E10" s="13">
        <v>134.59</v>
      </c>
      <c r="F10" s="14">
        <v>3.0179999999999998</v>
      </c>
      <c r="G10" s="13">
        <v>736.73</v>
      </c>
      <c r="H10" s="12">
        <v>6.0521000000000003</v>
      </c>
      <c r="I10" s="12">
        <v>1.4356</v>
      </c>
      <c r="J10" s="12">
        <v>1.7674000000000001</v>
      </c>
    </row>
    <row r="11" spans="1:12">
      <c r="A11" s="15">
        <v>1992</v>
      </c>
      <c r="B11" s="12">
        <v>0.73519999999999996</v>
      </c>
      <c r="C11" s="12">
        <v>1.2084999999999999</v>
      </c>
      <c r="D11" s="12">
        <v>5.5206</v>
      </c>
      <c r="E11" s="13">
        <v>126.78</v>
      </c>
      <c r="F11" s="14">
        <v>3.0950000000000002</v>
      </c>
      <c r="G11" s="13">
        <v>784.66</v>
      </c>
      <c r="H11" s="12">
        <v>5.8258000000000001</v>
      </c>
      <c r="I11" s="12">
        <v>1.4064000000000001</v>
      </c>
      <c r="J11" s="12">
        <v>1.7663</v>
      </c>
    </row>
    <row r="12" spans="1:12">
      <c r="A12" s="15">
        <v>1993</v>
      </c>
      <c r="B12" s="12">
        <v>0.67989999999999995</v>
      </c>
      <c r="C12" s="12">
        <v>1.2902</v>
      </c>
      <c r="D12" s="12">
        <v>5.7794999999999996</v>
      </c>
      <c r="E12" s="13">
        <v>111.08</v>
      </c>
      <c r="F12" s="14">
        <v>3.1160000000000001</v>
      </c>
      <c r="G12" s="13">
        <v>805.75</v>
      </c>
      <c r="H12" s="12">
        <v>7.7956000000000003</v>
      </c>
      <c r="I12" s="12">
        <v>1.4781</v>
      </c>
      <c r="J12" s="12">
        <v>1.5016</v>
      </c>
    </row>
    <row r="13" spans="1:12">
      <c r="A13" s="15">
        <v>1994</v>
      </c>
      <c r="B13" s="12">
        <v>0.73160000000000003</v>
      </c>
      <c r="C13" s="12">
        <v>1.3664000000000001</v>
      </c>
      <c r="D13" s="12">
        <v>8.6396999999999995</v>
      </c>
      <c r="E13" s="13">
        <v>102.18</v>
      </c>
      <c r="F13" s="14">
        <v>3.3849999999999998</v>
      </c>
      <c r="G13" s="13">
        <v>806.93</v>
      </c>
      <c r="H13" s="12">
        <v>7.7161</v>
      </c>
      <c r="I13" s="12">
        <v>1.3667</v>
      </c>
      <c r="J13" s="12">
        <v>1.5319</v>
      </c>
    </row>
    <row r="14" spans="1:12">
      <c r="A14" s="15">
        <v>1995</v>
      </c>
      <c r="B14" s="12">
        <v>0.74070000000000003</v>
      </c>
      <c r="C14" s="12">
        <v>1.3725000000000001</v>
      </c>
      <c r="D14" s="12">
        <v>8.3699999999999992</v>
      </c>
      <c r="E14" s="13">
        <v>93.96</v>
      </c>
      <c r="F14" s="14">
        <v>6.4470000000000001</v>
      </c>
      <c r="G14" s="13">
        <v>772.69</v>
      </c>
      <c r="H14" s="12">
        <v>7.1406000000000001</v>
      </c>
      <c r="I14" s="12">
        <v>1.1812</v>
      </c>
      <c r="J14" s="12">
        <v>1.5785</v>
      </c>
    </row>
    <row r="15" spans="1:12">
      <c r="A15" s="15">
        <v>1996</v>
      </c>
      <c r="B15" s="12">
        <v>0.78280000000000005</v>
      </c>
      <c r="C15" s="12">
        <v>1.3637999999999999</v>
      </c>
      <c r="D15" s="12">
        <v>8.3389000000000006</v>
      </c>
      <c r="E15" s="13">
        <v>108.78</v>
      </c>
      <c r="F15" s="14">
        <v>7.6</v>
      </c>
      <c r="G15" s="13">
        <v>805</v>
      </c>
      <c r="H15" s="12">
        <v>6.7081999999999997</v>
      </c>
      <c r="I15" s="12">
        <v>1.2361</v>
      </c>
      <c r="J15" s="12">
        <v>1.5607</v>
      </c>
    </row>
    <row r="16" spans="1:12">
      <c r="A16" s="15">
        <v>1997</v>
      </c>
      <c r="B16" s="12">
        <v>0.74370000000000003</v>
      </c>
      <c r="C16" s="12">
        <v>1.3849</v>
      </c>
      <c r="D16" s="12">
        <v>8.3193000000000001</v>
      </c>
      <c r="E16" s="13">
        <v>121.06</v>
      </c>
      <c r="F16" s="14">
        <v>7.9180000000000001</v>
      </c>
      <c r="G16" s="13">
        <v>953.19</v>
      </c>
      <c r="H16" s="12">
        <v>7.6445999999999996</v>
      </c>
      <c r="I16" s="12">
        <v>1.4514</v>
      </c>
      <c r="J16" s="12">
        <v>1.6375999999999999</v>
      </c>
    </row>
    <row r="17" spans="1:10">
      <c r="A17" s="15">
        <v>1998</v>
      </c>
      <c r="B17" s="12">
        <v>0.62909999999999999</v>
      </c>
      <c r="C17" s="12">
        <v>1.4836</v>
      </c>
      <c r="D17" s="12">
        <v>8.3008000000000006</v>
      </c>
      <c r="E17" s="13">
        <v>130.99</v>
      </c>
      <c r="F17" s="14">
        <v>9.1519999999999992</v>
      </c>
      <c r="G17" s="13">
        <v>1400.4</v>
      </c>
      <c r="H17" s="12">
        <v>7.9522000000000004</v>
      </c>
      <c r="I17" s="12">
        <v>1.4505999999999999</v>
      </c>
      <c r="J17" s="12">
        <v>1.6573</v>
      </c>
    </row>
    <row r="18" spans="1:10">
      <c r="A18" s="15">
        <v>1999</v>
      </c>
      <c r="B18" s="12">
        <v>0.64539999999999997</v>
      </c>
      <c r="C18" s="12">
        <v>1.4858</v>
      </c>
      <c r="D18" s="12">
        <v>8.2782999999999998</v>
      </c>
      <c r="E18" s="13">
        <v>113.73</v>
      </c>
      <c r="F18" s="14">
        <v>9.5530000000000008</v>
      </c>
      <c r="G18" s="13">
        <v>1189.8399999999999</v>
      </c>
      <c r="H18" s="12">
        <v>8.2739999999999991</v>
      </c>
      <c r="I18" s="12">
        <v>1.5044999999999999</v>
      </c>
      <c r="J18" s="12">
        <v>1.6172</v>
      </c>
    </row>
    <row r="19" spans="1:10">
      <c r="A19" s="15">
        <v>2000</v>
      </c>
      <c r="B19" s="12">
        <v>0.58150000000000002</v>
      </c>
      <c r="C19" s="12">
        <v>1.4855</v>
      </c>
      <c r="D19" s="12">
        <v>8.2783999999999995</v>
      </c>
      <c r="E19" s="13">
        <v>107.8</v>
      </c>
      <c r="F19" s="14">
        <v>9.4589999999999996</v>
      </c>
      <c r="G19" s="13">
        <v>1130.9000000000001</v>
      </c>
      <c r="H19" s="12">
        <v>9.1735000000000007</v>
      </c>
      <c r="I19" s="12">
        <v>1.6903999999999999</v>
      </c>
      <c r="J19" s="12">
        <v>1.5156000000000001</v>
      </c>
    </row>
    <row r="20" spans="1:10">
      <c r="A20" s="15">
        <v>2001</v>
      </c>
      <c r="B20" s="12">
        <v>0.51690000000000003</v>
      </c>
      <c r="C20" s="12">
        <v>1.5487</v>
      </c>
      <c r="D20" s="12">
        <v>8.2769999999999992</v>
      </c>
      <c r="E20" s="13">
        <v>121.57</v>
      </c>
      <c r="F20" s="14">
        <v>9.3369999999999997</v>
      </c>
      <c r="G20" s="13">
        <v>1292.02</v>
      </c>
      <c r="H20" s="12">
        <v>10.342499999999999</v>
      </c>
      <c r="I20" s="12">
        <v>1.6891</v>
      </c>
      <c r="J20" s="12">
        <v>1.4396</v>
      </c>
    </row>
    <row r="21" spans="1:10">
      <c r="A21" s="15">
        <v>2002</v>
      </c>
      <c r="B21" s="12">
        <v>0.54369999999999996</v>
      </c>
      <c r="C21" s="12">
        <v>1.5704</v>
      </c>
      <c r="D21" s="12">
        <v>8.2771000000000008</v>
      </c>
      <c r="E21" s="13">
        <v>125.22</v>
      </c>
      <c r="F21" s="14">
        <v>9.6630000000000003</v>
      </c>
      <c r="G21" s="13">
        <v>1250.31</v>
      </c>
      <c r="H21" s="12">
        <v>9.7233000000000001</v>
      </c>
      <c r="I21" s="12">
        <v>1.5567</v>
      </c>
      <c r="J21" s="12">
        <v>1.5024999999999999</v>
      </c>
    </row>
    <row r="22" spans="1:10">
      <c r="A22" s="15">
        <v>2003</v>
      </c>
      <c r="B22" s="12">
        <v>0.65239999999999998</v>
      </c>
      <c r="C22" s="12">
        <v>1.4008</v>
      </c>
      <c r="D22" s="12">
        <v>8.2772000000000006</v>
      </c>
      <c r="E22" s="13">
        <v>115.94</v>
      </c>
      <c r="F22" s="14">
        <v>10.792999999999999</v>
      </c>
      <c r="G22" s="13">
        <v>1192.08</v>
      </c>
      <c r="H22" s="12">
        <v>8.0786999999999995</v>
      </c>
      <c r="I22" s="12">
        <v>1.345</v>
      </c>
      <c r="J22" s="12">
        <v>1.6347</v>
      </c>
    </row>
    <row r="23" spans="1:10">
      <c r="A23" s="15">
        <v>2004</v>
      </c>
      <c r="B23" s="12">
        <v>0.73650000000000004</v>
      </c>
      <c r="C23" s="12">
        <v>1.3017000000000001</v>
      </c>
      <c r="D23" s="12">
        <v>8.2767999999999997</v>
      </c>
      <c r="E23" s="13">
        <v>108.15</v>
      </c>
      <c r="F23" s="14">
        <v>11.29</v>
      </c>
      <c r="G23" s="13">
        <v>1145.24</v>
      </c>
      <c r="H23" s="12">
        <v>7.3479999999999999</v>
      </c>
      <c r="I23" s="12">
        <v>1.2427999999999999</v>
      </c>
      <c r="J23" s="12">
        <v>1.833</v>
      </c>
    </row>
    <row r="24" spans="1:10">
      <c r="A24" s="15">
        <v>2005</v>
      </c>
      <c r="B24" s="12">
        <v>0.76270000000000004</v>
      </c>
      <c r="C24" s="12">
        <v>1.2115</v>
      </c>
      <c r="D24" s="12">
        <v>8.1936</v>
      </c>
      <c r="E24" s="13">
        <v>110.11</v>
      </c>
      <c r="F24" s="14">
        <v>10.894</v>
      </c>
      <c r="G24" s="13">
        <v>1023.75</v>
      </c>
      <c r="H24" s="12">
        <v>7.4710000000000001</v>
      </c>
      <c r="I24" s="12">
        <v>1.2459</v>
      </c>
      <c r="J24" s="12">
        <v>1.8204</v>
      </c>
    </row>
    <row r="25" spans="1:10">
      <c r="A25" s="15">
        <v>2006</v>
      </c>
      <c r="B25" s="12">
        <v>0.75349999999999995</v>
      </c>
      <c r="C25" s="12">
        <v>1.1339999999999999</v>
      </c>
      <c r="D25" s="12">
        <v>7.9722999999999997</v>
      </c>
      <c r="E25" s="13">
        <v>116.31</v>
      </c>
      <c r="F25" s="14">
        <v>10.906000000000001</v>
      </c>
      <c r="G25" s="13">
        <v>954.32</v>
      </c>
      <c r="H25" s="12">
        <v>7.3718000000000004</v>
      </c>
      <c r="I25" s="12">
        <v>1.2532000000000001</v>
      </c>
      <c r="J25" s="12">
        <v>1.8433999999999999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2F06-43A3-4D5E-9879-8761615FB7B0}">
  <dimension ref="A1:F32"/>
  <sheetViews>
    <sheetView topLeftCell="A16" workbookViewId="0">
      <selection sqref="A1:F32"/>
    </sheetView>
  </sheetViews>
  <sheetFormatPr defaultRowHeight="15"/>
  <sheetData>
    <row r="1" spans="1:6">
      <c r="A1" t="s">
        <v>489</v>
      </c>
    </row>
    <row r="2" spans="1:6">
      <c r="A2" t="s">
        <v>490</v>
      </c>
    </row>
    <row r="3" spans="1:6">
      <c r="A3" t="s">
        <v>451</v>
      </c>
      <c r="B3" t="s">
        <v>63</v>
      </c>
    </row>
    <row r="4" spans="1:6">
      <c r="A4" t="s">
        <v>452</v>
      </c>
      <c r="B4" t="s">
        <v>491</v>
      </c>
    </row>
    <row r="5" spans="1:6">
      <c r="A5" t="s">
        <v>492</v>
      </c>
      <c r="B5" t="s">
        <v>493</v>
      </c>
    </row>
    <row r="6" spans="1:6">
      <c r="A6" t="s">
        <v>494</v>
      </c>
      <c r="B6" t="s">
        <v>495</v>
      </c>
    </row>
    <row r="7" spans="1:6">
      <c r="A7" t="s">
        <v>496</v>
      </c>
      <c r="B7" t="s">
        <v>497</v>
      </c>
    </row>
    <row r="8" spans="1:6">
      <c r="A8" t="s">
        <v>498</v>
      </c>
      <c r="B8" t="s">
        <v>499</v>
      </c>
    </row>
    <row r="9" spans="1:6">
      <c r="B9" t="s">
        <v>500</v>
      </c>
    </row>
    <row r="10" spans="1:6">
      <c r="C10" t="s">
        <v>501</v>
      </c>
    </row>
    <row r="12" spans="1:6">
      <c r="A12" t="s">
        <v>456</v>
      </c>
      <c r="B12" t="s">
        <v>92</v>
      </c>
      <c r="C12" t="s">
        <v>11</v>
      </c>
      <c r="D12" t="s">
        <v>463</v>
      </c>
      <c r="E12" t="s">
        <v>479</v>
      </c>
      <c r="F12" t="s">
        <v>480</v>
      </c>
    </row>
    <row r="13" spans="1:6">
      <c r="A13">
        <v>1962</v>
      </c>
      <c r="B13">
        <v>51.1</v>
      </c>
      <c r="C13">
        <v>560.29999999999995</v>
      </c>
      <c r="D13">
        <v>0.6</v>
      </c>
      <c r="E13">
        <v>16</v>
      </c>
      <c r="F13">
        <v>0</v>
      </c>
    </row>
    <row r="14" spans="1:6">
      <c r="A14">
        <v>1963</v>
      </c>
      <c r="B14">
        <v>52.3</v>
      </c>
      <c r="C14">
        <v>590.5</v>
      </c>
      <c r="D14">
        <v>0.9</v>
      </c>
      <c r="E14">
        <v>16.399999999999999</v>
      </c>
      <c r="F14">
        <v>0</v>
      </c>
    </row>
    <row r="15" spans="1:6">
      <c r="A15">
        <v>1964</v>
      </c>
      <c r="B15">
        <v>53.6</v>
      </c>
      <c r="C15">
        <v>632.4</v>
      </c>
      <c r="D15">
        <v>1.1000000000000001</v>
      </c>
      <c r="E15">
        <v>16.7</v>
      </c>
      <c r="F15">
        <v>0</v>
      </c>
    </row>
    <row r="16" spans="1:6">
      <c r="A16">
        <v>1965</v>
      </c>
      <c r="B16">
        <v>49.6</v>
      </c>
      <c r="C16">
        <v>684.9</v>
      </c>
      <c r="D16">
        <v>1.4</v>
      </c>
      <c r="E16">
        <v>17</v>
      </c>
      <c r="F16">
        <v>1</v>
      </c>
    </row>
    <row r="17" spans="1:6">
      <c r="A17">
        <v>1966</v>
      </c>
      <c r="B17">
        <v>56.8</v>
      </c>
      <c r="C17">
        <v>749.9</v>
      </c>
      <c r="D17">
        <v>1.6</v>
      </c>
      <c r="E17">
        <v>20.2</v>
      </c>
      <c r="F17">
        <v>1</v>
      </c>
    </row>
    <row r="18" spans="1:6">
      <c r="A18">
        <v>1967</v>
      </c>
      <c r="B18">
        <v>70.099999999999994</v>
      </c>
      <c r="C18">
        <v>793.9</v>
      </c>
      <c r="D18">
        <v>1</v>
      </c>
      <c r="E18">
        <v>23.4</v>
      </c>
      <c r="F18">
        <v>1</v>
      </c>
    </row>
    <row r="19" spans="1:6">
      <c r="A19">
        <v>1968</v>
      </c>
      <c r="B19">
        <v>80.5</v>
      </c>
      <c r="C19">
        <v>865</v>
      </c>
      <c r="D19">
        <v>0.8</v>
      </c>
      <c r="E19">
        <v>25.6</v>
      </c>
      <c r="F19">
        <v>1</v>
      </c>
    </row>
    <row r="20" spans="1:6">
      <c r="A20">
        <v>1969</v>
      </c>
      <c r="B20">
        <v>81.2</v>
      </c>
      <c r="C20">
        <v>931.4</v>
      </c>
      <c r="D20">
        <v>1.5</v>
      </c>
      <c r="E20">
        <v>24.6</v>
      </c>
      <c r="F20">
        <v>1</v>
      </c>
    </row>
    <row r="21" spans="1:6">
      <c r="A21">
        <v>1970</v>
      </c>
      <c r="B21">
        <v>80.3</v>
      </c>
      <c r="C21">
        <v>992.7</v>
      </c>
      <c r="D21">
        <v>1</v>
      </c>
      <c r="E21">
        <v>24.8</v>
      </c>
      <c r="F21">
        <v>1</v>
      </c>
    </row>
    <row r="22" spans="1:6">
      <c r="A22">
        <v>1971</v>
      </c>
      <c r="B22">
        <v>77.7</v>
      </c>
      <c r="C22">
        <v>1077.5999999999999</v>
      </c>
      <c r="D22">
        <v>1.5</v>
      </c>
      <c r="E22">
        <v>21.7</v>
      </c>
      <c r="F22">
        <v>1</v>
      </c>
    </row>
    <row r="23" spans="1:6">
      <c r="A23">
        <v>1972</v>
      </c>
      <c r="B23">
        <v>78.3</v>
      </c>
      <c r="C23">
        <v>1185.9000000000001</v>
      </c>
      <c r="D23">
        <v>2.95</v>
      </c>
      <c r="E23">
        <v>21.5</v>
      </c>
      <c r="F23">
        <v>1</v>
      </c>
    </row>
    <row r="24" spans="1:6">
      <c r="A24">
        <v>1973</v>
      </c>
      <c r="B24">
        <v>74.5</v>
      </c>
      <c r="C24">
        <v>1326.4</v>
      </c>
      <c r="D24">
        <v>4.8</v>
      </c>
      <c r="E24">
        <v>24.3</v>
      </c>
      <c r="F24">
        <v>0</v>
      </c>
    </row>
    <row r="25" spans="1:6">
      <c r="A25">
        <v>1974</v>
      </c>
      <c r="B25">
        <v>77.8</v>
      </c>
      <c r="C25">
        <v>1434.2</v>
      </c>
      <c r="D25">
        <v>10.3</v>
      </c>
      <c r="E25">
        <v>26.8</v>
      </c>
      <c r="F25">
        <v>0</v>
      </c>
    </row>
    <row r="26" spans="1:6">
      <c r="A26">
        <v>1975</v>
      </c>
      <c r="B26">
        <v>85.6</v>
      </c>
      <c r="C26">
        <v>1549.2</v>
      </c>
      <c r="D26">
        <v>16</v>
      </c>
      <c r="E26">
        <v>29.5</v>
      </c>
      <c r="F26">
        <v>0</v>
      </c>
    </row>
    <row r="27" spans="1:6">
      <c r="A27">
        <v>1976</v>
      </c>
      <c r="B27">
        <v>89.4</v>
      </c>
      <c r="C27">
        <v>1718</v>
      </c>
      <c r="D27">
        <v>14.7</v>
      </c>
      <c r="E27">
        <v>30.4</v>
      </c>
      <c r="F27">
        <v>0</v>
      </c>
    </row>
    <row r="28" spans="1:6">
      <c r="A28">
        <v>1977</v>
      </c>
      <c r="B28">
        <v>97.5</v>
      </c>
      <c r="C28">
        <v>1918.3</v>
      </c>
      <c r="D28">
        <v>8.3000000000000007</v>
      </c>
      <c r="E28">
        <v>33.299999999999997</v>
      </c>
      <c r="F28">
        <v>0</v>
      </c>
    </row>
    <row r="29" spans="1:6">
      <c r="A29">
        <v>1978</v>
      </c>
      <c r="B29">
        <v>105.2</v>
      </c>
      <c r="C29">
        <v>2163.9</v>
      </c>
      <c r="D29">
        <v>11</v>
      </c>
      <c r="E29">
        <v>38</v>
      </c>
      <c r="F29">
        <v>0</v>
      </c>
    </row>
    <row r="30" spans="1:6">
      <c r="A30">
        <v>1979</v>
      </c>
      <c r="B30">
        <v>117.7</v>
      </c>
      <c r="C30">
        <v>2417.8000000000002</v>
      </c>
      <c r="D30">
        <v>13</v>
      </c>
      <c r="E30">
        <v>46.2</v>
      </c>
      <c r="F30">
        <v>0</v>
      </c>
    </row>
    <row r="31" spans="1:6">
      <c r="A31">
        <v>1980</v>
      </c>
      <c r="B31">
        <v>135.9</v>
      </c>
      <c r="C31">
        <v>2633.1</v>
      </c>
      <c r="D31">
        <v>15.3</v>
      </c>
      <c r="E31">
        <v>57.6</v>
      </c>
      <c r="F31">
        <v>0</v>
      </c>
    </row>
    <row r="32" spans="1:6">
      <c r="A32">
        <v>1981</v>
      </c>
      <c r="B32">
        <v>162.1</v>
      </c>
      <c r="C32">
        <v>2937.7</v>
      </c>
      <c r="D32">
        <v>18</v>
      </c>
      <c r="E32">
        <v>68.900000000000006</v>
      </c>
      <c r="F3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BCC6-E3ED-4BB9-B210-2160C28B5513}">
  <dimension ref="A1:G34"/>
  <sheetViews>
    <sheetView workbookViewId="0">
      <selection sqref="A1:G34"/>
    </sheetView>
  </sheetViews>
  <sheetFormatPr defaultRowHeight="15"/>
  <sheetData>
    <row r="1" spans="1:7">
      <c r="A1" t="s">
        <v>502</v>
      </c>
    </row>
    <row r="2" spans="1:7">
      <c r="A2" t="s">
        <v>503</v>
      </c>
    </row>
    <row r="3" spans="1:7">
      <c r="A3" t="s">
        <v>456</v>
      </c>
    </row>
    <row r="4" spans="1:7">
      <c r="A4" t="s">
        <v>92</v>
      </c>
      <c r="B4" t="s">
        <v>504</v>
      </c>
    </row>
    <row r="5" spans="1:7">
      <c r="A5" t="s">
        <v>11</v>
      </c>
      <c r="B5" t="s">
        <v>505</v>
      </c>
    </row>
    <row r="6" spans="1:7">
      <c r="A6" t="s">
        <v>463</v>
      </c>
      <c r="B6" t="s">
        <v>506</v>
      </c>
    </row>
    <row r="7" spans="1:7">
      <c r="A7" t="s">
        <v>479</v>
      </c>
      <c r="B7" t="s">
        <v>507</v>
      </c>
    </row>
    <row r="8" spans="1:7">
      <c r="A8" t="s">
        <v>480</v>
      </c>
      <c r="B8" t="s">
        <v>508</v>
      </c>
    </row>
    <row r="9" spans="1:7">
      <c r="A9" t="s">
        <v>509</v>
      </c>
      <c r="B9" t="s">
        <v>510</v>
      </c>
    </row>
    <row r="11" spans="1:7">
      <c r="A11" t="s">
        <v>456</v>
      </c>
      <c r="B11" t="s">
        <v>92</v>
      </c>
      <c r="C11" t="s">
        <v>11</v>
      </c>
      <c r="D11" t="s">
        <v>463</v>
      </c>
      <c r="E11" t="s">
        <v>479</v>
      </c>
      <c r="F11" t="s">
        <v>480</v>
      </c>
      <c r="G11" t="s">
        <v>509</v>
      </c>
    </row>
    <row r="12" spans="1:7">
      <c r="A12">
        <v>1960</v>
      </c>
      <c r="B12">
        <v>27.8</v>
      </c>
      <c r="C12">
        <v>397.5</v>
      </c>
      <c r="D12">
        <v>42.2</v>
      </c>
      <c r="E12">
        <v>50.7</v>
      </c>
      <c r="F12">
        <v>78.3</v>
      </c>
      <c r="G12">
        <v>65.8</v>
      </c>
    </row>
    <row r="13" spans="1:7">
      <c r="A13">
        <v>1961</v>
      </c>
      <c r="B13">
        <v>29.9</v>
      </c>
      <c r="C13">
        <v>413.3</v>
      </c>
      <c r="D13">
        <v>38.1</v>
      </c>
      <c r="E13">
        <v>52</v>
      </c>
      <c r="F13">
        <v>79.2</v>
      </c>
      <c r="G13">
        <v>66.900000000000006</v>
      </c>
    </row>
    <row r="14" spans="1:7">
      <c r="A14">
        <v>1962</v>
      </c>
      <c r="B14">
        <v>29.8</v>
      </c>
      <c r="C14">
        <v>439.2</v>
      </c>
      <c r="D14">
        <v>40.299999999999997</v>
      </c>
      <c r="E14">
        <v>54</v>
      </c>
      <c r="F14">
        <v>79.2</v>
      </c>
      <c r="G14">
        <v>67.8</v>
      </c>
    </row>
    <row r="15" spans="1:7">
      <c r="A15">
        <v>1963</v>
      </c>
      <c r="B15">
        <v>30.8</v>
      </c>
      <c r="C15">
        <v>459.7</v>
      </c>
      <c r="D15">
        <v>39.5</v>
      </c>
      <c r="E15">
        <v>55.3</v>
      </c>
      <c r="F15">
        <v>79.2</v>
      </c>
      <c r="G15">
        <v>69.599999999999994</v>
      </c>
    </row>
    <row r="16" spans="1:7">
      <c r="A16">
        <v>1964</v>
      </c>
      <c r="B16">
        <v>31.2</v>
      </c>
      <c r="C16">
        <v>492.9</v>
      </c>
      <c r="D16">
        <v>37.299999999999997</v>
      </c>
      <c r="E16">
        <v>54.7</v>
      </c>
      <c r="F16">
        <v>77.400000000000006</v>
      </c>
      <c r="G16">
        <v>68.7</v>
      </c>
    </row>
    <row r="17" spans="1:7">
      <c r="A17">
        <v>1965</v>
      </c>
      <c r="B17">
        <v>33.299999999999997</v>
      </c>
      <c r="C17">
        <v>528.6</v>
      </c>
      <c r="D17">
        <v>38.1</v>
      </c>
      <c r="E17">
        <v>63.7</v>
      </c>
      <c r="F17">
        <v>80.2</v>
      </c>
      <c r="G17">
        <v>73.599999999999994</v>
      </c>
    </row>
    <row r="18" spans="1:7">
      <c r="A18">
        <v>1966</v>
      </c>
      <c r="B18">
        <v>35.6</v>
      </c>
      <c r="C18">
        <v>560.29999999999995</v>
      </c>
      <c r="D18">
        <v>39.299999999999997</v>
      </c>
      <c r="E18">
        <v>69.8</v>
      </c>
      <c r="F18">
        <v>80.400000000000006</v>
      </c>
      <c r="G18">
        <v>76.3</v>
      </c>
    </row>
    <row r="19" spans="1:7">
      <c r="A19">
        <v>1967</v>
      </c>
      <c r="B19">
        <v>36.4</v>
      </c>
      <c r="C19">
        <v>624.6</v>
      </c>
      <c r="D19">
        <v>37.799999999999997</v>
      </c>
      <c r="E19">
        <v>65.900000000000006</v>
      </c>
      <c r="F19">
        <v>83.9</v>
      </c>
      <c r="G19">
        <v>77.2</v>
      </c>
    </row>
    <row r="20" spans="1:7">
      <c r="A20">
        <v>1968</v>
      </c>
      <c r="B20">
        <v>36.700000000000003</v>
      </c>
      <c r="C20">
        <v>666.4</v>
      </c>
      <c r="D20">
        <v>38.4</v>
      </c>
      <c r="E20">
        <v>64.5</v>
      </c>
      <c r="F20">
        <v>85.5</v>
      </c>
      <c r="G20">
        <v>78.099999999999994</v>
      </c>
    </row>
    <row r="21" spans="1:7">
      <c r="A21">
        <v>1969</v>
      </c>
      <c r="B21">
        <v>38.4</v>
      </c>
      <c r="C21">
        <v>717.8</v>
      </c>
      <c r="D21">
        <v>40.1</v>
      </c>
      <c r="E21">
        <v>70</v>
      </c>
      <c r="F21">
        <v>93.7</v>
      </c>
      <c r="G21">
        <v>84.7</v>
      </c>
    </row>
    <row r="22" spans="1:7">
      <c r="A22">
        <v>1970</v>
      </c>
      <c r="B22">
        <v>40.4</v>
      </c>
      <c r="C22">
        <v>768.2</v>
      </c>
      <c r="D22">
        <v>38.6</v>
      </c>
      <c r="E22">
        <v>73.2</v>
      </c>
      <c r="F22">
        <v>106.1</v>
      </c>
      <c r="G22">
        <v>93.3</v>
      </c>
    </row>
    <row r="23" spans="1:7">
      <c r="A23">
        <v>1971</v>
      </c>
      <c r="B23">
        <v>40.299999999999997</v>
      </c>
      <c r="C23">
        <v>843.3</v>
      </c>
      <c r="D23">
        <v>39.799999999999997</v>
      </c>
      <c r="E23">
        <v>67.8</v>
      </c>
      <c r="F23">
        <v>104.8</v>
      </c>
      <c r="G23">
        <v>89.7</v>
      </c>
    </row>
    <row r="24" spans="1:7">
      <c r="A24">
        <v>1972</v>
      </c>
      <c r="B24">
        <v>41.8</v>
      </c>
      <c r="C24">
        <v>911.6</v>
      </c>
      <c r="D24">
        <v>39.700000000000003</v>
      </c>
      <c r="E24">
        <v>79.099999999999994</v>
      </c>
      <c r="F24">
        <v>114</v>
      </c>
      <c r="G24">
        <v>100.7</v>
      </c>
    </row>
    <row r="25" spans="1:7">
      <c r="A25">
        <v>1973</v>
      </c>
      <c r="B25">
        <v>40.4</v>
      </c>
      <c r="C25">
        <v>931.1</v>
      </c>
      <c r="D25">
        <v>52.1</v>
      </c>
      <c r="E25">
        <v>95.4</v>
      </c>
      <c r="F25">
        <v>124.1</v>
      </c>
      <c r="G25">
        <v>113.5</v>
      </c>
    </row>
    <row r="26" spans="1:7">
      <c r="A26">
        <v>1974</v>
      </c>
      <c r="B26">
        <v>40.700000000000003</v>
      </c>
      <c r="C26">
        <v>1021.5</v>
      </c>
      <c r="D26">
        <v>48.9</v>
      </c>
      <c r="E26">
        <v>94.2</v>
      </c>
      <c r="F26">
        <v>127.6</v>
      </c>
      <c r="G26">
        <v>115.3</v>
      </c>
    </row>
    <row r="27" spans="1:7">
      <c r="A27">
        <v>1975</v>
      </c>
      <c r="B27">
        <v>40.1</v>
      </c>
      <c r="C27">
        <v>1165.9000000000001</v>
      </c>
      <c r="D27">
        <v>58.3</v>
      </c>
      <c r="E27">
        <v>123.5</v>
      </c>
      <c r="F27">
        <v>142.9</v>
      </c>
      <c r="G27">
        <v>136.69999999999999</v>
      </c>
    </row>
    <row r="28" spans="1:7">
      <c r="A28">
        <v>1976</v>
      </c>
      <c r="B28">
        <v>42.7</v>
      </c>
      <c r="C28">
        <v>1349.6</v>
      </c>
      <c r="D28">
        <v>57.9</v>
      </c>
      <c r="E28">
        <v>129.9</v>
      </c>
      <c r="F28">
        <v>143.6</v>
      </c>
      <c r="G28">
        <v>139.19999999999999</v>
      </c>
    </row>
    <row r="29" spans="1:7">
      <c r="A29">
        <v>1977</v>
      </c>
      <c r="B29">
        <v>44.1</v>
      </c>
      <c r="C29">
        <v>1449.4</v>
      </c>
      <c r="D29">
        <v>56.5</v>
      </c>
      <c r="E29">
        <v>117.6</v>
      </c>
      <c r="F29">
        <v>139.19999999999999</v>
      </c>
      <c r="G29">
        <v>132</v>
      </c>
    </row>
    <row r="30" spans="1:7">
      <c r="A30">
        <v>1978</v>
      </c>
      <c r="B30">
        <v>46.7</v>
      </c>
      <c r="C30">
        <v>1575.5</v>
      </c>
      <c r="D30">
        <v>63.7</v>
      </c>
      <c r="E30">
        <v>130.9</v>
      </c>
      <c r="F30">
        <v>165.5</v>
      </c>
      <c r="G30">
        <v>132.1</v>
      </c>
    </row>
    <row r="31" spans="1:7">
      <c r="A31">
        <v>1979</v>
      </c>
      <c r="B31">
        <v>50.6</v>
      </c>
      <c r="C31">
        <v>1759.1</v>
      </c>
      <c r="D31">
        <v>61.6</v>
      </c>
      <c r="E31">
        <v>129.80000000000001</v>
      </c>
      <c r="F31">
        <v>203.3</v>
      </c>
      <c r="G31">
        <v>154.4</v>
      </c>
    </row>
    <row r="32" spans="1:7">
      <c r="A32">
        <v>1980</v>
      </c>
      <c r="B32">
        <v>50.1</v>
      </c>
      <c r="C32">
        <v>1994.2</v>
      </c>
      <c r="D32">
        <v>58.9</v>
      </c>
      <c r="E32">
        <v>128</v>
      </c>
      <c r="F32">
        <v>219.6</v>
      </c>
      <c r="G32">
        <v>174.9</v>
      </c>
    </row>
    <row r="33" spans="1:7">
      <c r="A33">
        <v>1981</v>
      </c>
      <c r="B33">
        <v>51.7</v>
      </c>
      <c r="C33">
        <v>2258.1</v>
      </c>
      <c r="D33">
        <v>66.400000000000006</v>
      </c>
      <c r="E33">
        <v>141</v>
      </c>
      <c r="F33">
        <v>221.6</v>
      </c>
      <c r="G33">
        <v>180.8</v>
      </c>
    </row>
    <row r="34" spans="1:7">
      <c r="A34">
        <v>1982</v>
      </c>
      <c r="B34">
        <v>52.9</v>
      </c>
      <c r="C34">
        <v>2478.6999999999998</v>
      </c>
      <c r="D34">
        <v>70.400000000000006</v>
      </c>
      <c r="E34">
        <v>168.2</v>
      </c>
      <c r="F34">
        <v>232.6</v>
      </c>
      <c r="G34">
        <v>189.4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7F6EF-239D-43FB-9607-06E855067AAD}">
  <dimension ref="A1:F23"/>
  <sheetViews>
    <sheetView topLeftCell="A4" workbookViewId="0">
      <selection sqref="A1:F23"/>
    </sheetView>
  </sheetViews>
  <sheetFormatPr defaultRowHeight="15"/>
  <sheetData>
    <row r="1" spans="1:6">
      <c r="A1" t="s">
        <v>511</v>
      </c>
    </row>
    <row r="2" spans="1:6">
      <c r="A2" t="s">
        <v>512</v>
      </c>
    </row>
    <row r="4" spans="1:6">
      <c r="A4" t="s">
        <v>456</v>
      </c>
      <c r="B4" t="s">
        <v>513</v>
      </c>
      <c r="C4" t="s">
        <v>218</v>
      </c>
      <c r="D4" t="s">
        <v>197</v>
      </c>
      <c r="E4" t="s">
        <v>514</v>
      </c>
      <c r="F4" t="s">
        <v>515</v>
      </c>
    </row>
    <row r="5" spans="1:6">
      <c r="A5">
        <v>1980</v>
      </c>
      <c r="B5">
        <v>2795.6</v>
      </c>
      <c r="C5">
        <v>1600.4</v>
      </c>
      <c r="D5">
        <v>82.4</v>
      </c>
      <c r="E5">
        <v>11.27</v>
      </c>
      <c r="F5">
        <v>11.506</v>
      </c>
    </row>
    <row r="6" spans="1:6">
      <c r="A6">
        <v>1981</v>
      </c>
      <c r="B6">
        <v>3131.3</v>
      </c>
      <c r="C6">
        <v>1756.1</v>
      </c>
      <c r="D6">
        <v>90.9</v>
      </c>
      <c r="E6">
        <v>13.45</v>
      </c>
      <c r="F6">
        <v>14.029</v>
      </c>
    </row>
    <row r="7" spans="1:6">
      <c r="A7">
        <v>1982</v>
      </c>
      <c r="B7">
        <v>3259.2</v>
      </c>
      <c r="C7">
        <v>1911.2</v>
      </c>
      <c r="D7">
        <v>96.5</v>
      </c>
      <c r="E7">
        <v>12.76</v>
      </c>
      <c r="F7">
        <v>10.686</v>
      </c>
    </row>
    <row r="8" spans="1:6">
      <c r="A8">
        <v>1983</v>
      </c>
      <c r="B8">
        <v>3534.9</v>
      </c>
      <c r="C8">
        <v>2127.8000000000002</v>
      </c>
      <c r="D8">
        <v>99.6</v>
      </c>
      <c r="E8">
        <v>11.18</v>
      </c>
      <c r="F8">
        <v>8.6300000000000008</v>
      </c>
    </row>
    <row r="9" spans="1:6">
      <c r="A9">
        <v>1984</v>
      </c>
      <c r="B9">
        <v>3932.7</v>
      </c>
      <c r="C9">
        <v>2311.6999999999998</v>
      </c>
      <c r="D9">
        <v>103.9</v>
      </c>
      <c r="E9">
        <v>12.41</v>
      </c>
      <c r="F9">
        <v>9.58</v>
      </c>
    </row>
    <row r="10" spans="1:6">
      <c r="A10">
        <v>1985</v>
      </c>
      <c r="B10">
        <v>4213</v>
      </c>
      <c r="C10">
        <v>2497.4</v>
      </c>
      <c r="D10">
        <v>107.6</v>
      </c>
      <c r="E10">
        <v>10.79</v>
      </c>
      <c r="F10">
        <v>7.48</v>
      </c>
    </row>
    <row r="11" spans="1:6">
      <c r="A11">
        <v>1986</v>
      </c>
      <c r="B11">
        <v>4452.8999999999996</v>
      </c>
      <c r="C11">
        <v>2734</v>
      </c>
      <c r="D11">
        <v>109.6</v>
      </c>
      <c r="E11">
        <v>7.78</v>
      </c>
      <c r="F11">
        <v>5.98</v>
      </c>
    </row>
    <row r="12" spans="1:6">
      <c r="A12">
        <v>1987</v>
      </c>
      <c r="B12">
        <v>4742.5</v>
      </c>
      <c r="C12">
        <v>2832.8</v>
      </c>
      <c r="D12">
        <v>113.6</v>
      </c>
      <c r="E12">
        <v>8.59</v>
      </c>
      <c r="F12">
        <v>5.82</v>
      </c>
    </row>
    <row r="13" spans="1:6">
      <c r="A13">
        <v>1988</v>
      </c>
      <c r="B13">
        <v>5108.3</v>
      </c>
      <c r="C13">
        <v>2995.8</v>
      </c>
      <c r="D13">
        <v>118.3</v>
      </c>
      <c r="E13">
        <v>8.9600000000000009</v>
      </c>
      <c r="F13">
        <v>6.69</v>
      </c>
    </row>
    <row r="14" spans="1:6">
      <c r="A14">
        <v>1989</v>
      </c>
      <c r="B14">
        <v>5489.1</v>
      </c>
      <c r="C14">
        <v>3159.9</v>
      </c>
      <c r="D14">
        <v>124</v>
      </c>
      <c r="E14">
        <v>8.4499999999999993</v>
      </c>
      <c r="F14">
        <v>8.1199999999999992</v>
      </c>
    </row>
    <row r="15" spans="1:6">
      <c r="A15">
        <v>1990</v>
      </c>
      <c r="B15">
        <v>5803.2</v>
      </c>
      <c r="C15">
        <v>3279.1</v>
      </c>
      <c r="D15">
        <v>130.69999999999999</v>
      </c>
      <c r="E15">
        <v>8.61</v>
      </c>
      <c r="F15">
        <v>7.51</v>
      </c>
    </row>
    <row r="16" spans="1:6">
      <c r="A16">
        <v>1991</v>
      </c>
      <c r="B16">
        <v>5986.2</v>
      </c>
      <c r="C16">
        <v>3379.8</v>
      </c>
      <c r="D16">
        <v>136.19999999999999</v>
      </c>
      <c r="E16">
        <v>8.14</v>
      </c>
      <c r="F16">
        <v>5.42</v>
      </c>
    </row>
    <row r="17" spans="1:6">
      <c r="A17">
        <v>1992</v>
      </c>
      <c r="B17">
        <v>6318.9</v>
      </c>
      <c r="C17">
        <v>3434.1</v>
      </c>
      <c r="D17">
        <v>140.30000000000001</v>
      </c>
      <c r="E17">
        <v>7.67</v>
      </c>
      <c r="F17">
        <v>3.45</v>
      </c>
    </row>
    <row r="18" spans="1:6">
      <c r="A18">
        <v>1993</v>
      </c>
      <c r="B18">
        <v>6642.3</v>
      </c>
      <c r="C18">
        <v>3487.5</v>
      </c>
      <c r="D18">
        <v>144.5</v>
      </c>
      <c r="E18">
        <v>6.59</v>
      </c>
      <c r="F18">
        <v>3.02</v>
      </c>
    </row>
    <row r="19" spans="1:6">
      <c r="A19">
        <v>1994</v>
      </c>
      <c r="B19">
        <v>7054.3</v>
      </c>
      <c r="C19">
        <v>3502.2</v>
      </c>
      <c r="D19">
        <v>148.19999999999999</v>
      </c>
      <c r="E19">
        <v>7.37</v>
      </c>
      <c r="F19">
        <v>4.29</v>
      </c>
    </row>
    <row r="20" spans="1:6">
      <c r="A20">
        <v>1995</v>
      </c>
      <c r="B20">
        <v>7400.5</v>
      </c>
      <c r="C20">
        <v>3649.3</v>
      </c>
      <c r="D20">
        <v>152.4</v>
      </c>
      <c r="E20">
        <v>6.88</v>
      </c>
      <c r="F20">
        <v>5.51</v>
      </c>
    </row>
    <row r="21" spans="1:6">
      <c r="A21">
        <v>1996</v>
      </c>
      <c r="B21">
        <v>7813.2</v>
      </c>
      <c r="C21">
        <v>3824.2</v>
      </c>
      <c r="D21">
        <v>156.9</v>
      </c>
      <c r="E21">
        <v>6.71</v>
      </c>
      <c r="F21">
        <v>5.0199999999999996</v>
      </c>
    </row>
    <row r="22" spans="1:6">
      <c r="A22">
        <v>1997</v>
      </c>
      <c r="B22">
        <v>8300.7999999999993</v>
      </c>
      <c r="C22">
        <v>4046.7</v>
      </c>
      <c r="D22">
        <v>160.5</v>
      </c>
      <c r="E22">
        <v>6.61</v>
      </c>
      <c r="F22">
        <v>5.07</v>
      </c>
    </row>
    <row r="23" spans="1:6">
      <c r="A23">
        <v>1998</v>
      </c>
      <c r="B23">
        <v>8759.9</v>
      </c>
      <c r="C23">
        <v>4401.3999999999996</v>
      </c>
      <c r="D23">
        <v>163</v>
      </c>
      <c r="E23">
        <v>5.58</v>
      </c>
      <c r="F23">
        <v>4.8099999999999996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8ADF-35F9-449E-A5CD-F04138B7FC56}">
  <dimension ref="A1:E31"/>
  <sheetViews>
    <sheetView workbookViewId="0">
      <selection activeCell="A5" sqref="A5:XFD5"/>
    </sheetView>
  </sheetViews>
  <sheetFormatPr defaultRowHeight="15"/>
  <sheetData>
    <row r="1" spans="1:5">
      <c r="A1" t="s">
        <v>516</v>
      </c>
    </row>
    <row r="2" spans="1:5">
      <c r="A2" t="s">
        <v>517</v>
      </c>
    </row>
    <row r="4" spans="1:5">
      <c r="A4" t="s">
        <v>114</v>
      </c>
      <c r="B4" t="s">
        <v>518</v>
      </c>
      <c r="C4" t="s">
        <v>519</v>
      </c>
      <c r="D4" t="s">
        <v>520</v>
      </c>
      <c r="E4" t="s">
        <v>521</v>
      </c>
    </row>
    <row r="5" spans="1:5">
      <c r="A5">
        <v>1961</v>
      </c>
      <c r="B5">
        <v>35.857999999999997</v>
      </c>
      <c r="C5">
        <v>59.6</v>
      </c>
      <c r="D5">
        <v>637</v>
      </c>
      <c r="E5">
        <v>9.3600000000000003E-2</v>
      </c>
    </row>
    <row r="6" spans="1:5">
      <c r="A6">
        <v>1962</v>
      </c>
      <c r="B6">
        <v>37.503999999999998</v>
      </c>
      <c r="C6">
        <v>64.2</v>
      </c>
      <c r="D6">
        <v>643.20000000000005</v>
      </c>
      <c r="E6">
        <v>9.98E-2</v>
      </c>
    </row>
    <row r="7" spans="1:5">
      <c r="A7">
        <v>1963</v>
      </c>
      <c r="B7">
        <v>40.378</v>
      </c>
      <c r="C7">
        <v>68.8</v>
      </c>
      <c r="D7">
        <v>651</v>
      </c>
      <c r="E7">
        <v>0.1057</v>
      </c>
    </row>
    <row r="8" spans="1:5">
      <c r="A8">
        <v>1964</v>
      </c>
      <c r="B8">
        <v>46.146999999999998</v>
      </c>
      <c r="C8">
        <v>75.5</v>
      </c>
      <c r="D8">
        <v>685.7</v>
      </c>
      <c r="E8">
        <v>0.1101</v>
      </c>
    </row>
    <row r="9" spans="1:5">
      <c r="A9">
        <v>1965</v>
      </c>
      <c r="B9">
        <v>51.046999999999997</v>
      </c>
      <c r="C9">
        <v>84.4</v>
      </c>
      <c r="D9">
        <v>710.7</v>
      </c>
      <c r="E9">
        <v>0.1188</v>
      </c>
    </row>
    <row r="10" spans="1:5">
      <c r="A10">
        <v>1966</v>
      </c>
      <c r="B10">
        <v>53.871000000000002</v>
      </c>
      <c r="C10">
        <v>91.8</v>
      </c>
      <c r="D10">
        <v>724.3</v>
      </c>
      <c r="E10">
        <v>0.12670000000000001</v>
      </c>
    </row>
    <row r="11" spans="1:5">
      <c r="A11">
        <v>1967</v>
      </c>
      <c r="B11">
        <v>56.834000000000003</v>
      </c>
      <c r="C11">
        <v>99.9</v>
      </c>
      <c r="D11">
        <v>735.2</v>
      </c>
      <c r="E11">
        <v>0.13589999999999999</v>
      </c>
    </row>
    <row r="12" spans="1:5">
      <c r="A12">
        <v>1968</v>
      </c>
      <c r="B12">
        <v>65.438999999999993</v>
      </c>
      <c r="C12">
        <v>109.1</v>
      </c>
      <c r="D12">
        <v>760.3</v>
      </c>
      <c r="E12">
        <v>0.14349999999999999</v>
      </c>
    </row>
    <row r="13" spans="1:5">
      <c r="A13">
        <v>1969</v>
      </c>
      <c r="B13">
        <v>74.938999999999993</v>
      </c>
      <c r="C13">
        <v>120.7</v>
      </c>
      <c r="D13">
        <v>777.6</v>
      </c>
      <c r="E13">
        <v>0.1552</v>
      </c>
    </row>
    <row r="14" spans="1:5">
      <c r="A14">
        <v>1970</v>
      </c>
      <c r="B14">
        <v>80.975999999999999</v>
      </c>
      <c r="C14">
        <v>132</v>
      </c>
      <c r="D14">
        <v>780.8</v>
      </c>
      <c r="E14">
        <v>0.1691</v>
      </c>
    </row>
    <row r="15" spans="1:5">
      <c r="A15">
        <v>1971</v>
      </c>
      <c r="B15">
        <v>90.802000000000007</v>
      </c>
      <c r="C15">
        <v>146.6</v>
      </c>
      <c r="D15">
        <v>825.8</v>
      </c>
      <c r="E15">
        <v>0.17749999999999999</v>
      </c>
    </row>
    <row r="16" spans="1:5">
      <c r="A16">
        <v>1972</v>
      </c>
      <c r="B16">
        <v>101.955</v>
      </c>
      <c r="C16">
        <v>162.69999999999999</v>
      </c>
      <c r="D16">
        <v>864.1</v>
      </c>
      <c r="E16">
        <v>0.1883</v>
      </c>
    </row>
    <row r="17" spans="1:5">
      <c r="A17">
        <v>1973</v>
      </c>
      <c r="B17">
        <v>114.367</v>
      </c>
      <c r="C17">
        <v>180.6</v>
      </c>
      <c r="D17">
        <v>894.2</v>
      </c>
      <c r="E17">
        <v>0.20200000000000001</v>
      </c>
    </row>
    <row r="18" spans="1:5">
      <c r="A18">
        <v>1974</v>
      </c>
      <c r="B18">
        <v>101.82299999999999</v>
      </c>
      <c r="C18">
        <v>197.1</v>
      </c>
      <c r="D18">
        <v>891.2</v>
      </c>
      <c r="E18">
        <v>0.22120000000000001</v>
      </c>
    </row>
    <row r="19" spans="1:5">
      <c r="A19">
        <v>1975</v>
      </c>
      <c r="B19">
        <v>107.572</v>
      </c>
      <c r="C19">
        <v>209.6</v>
      </c>
      <c r="D19">
        <v>887.5</v>
      </c>
      <c r="E19">
        <v>0.23619999999999999</v>
      </c>
    </row>
    <row r="20" spans="1:5">
      <c r="A20">
        <v>1976</v>
      </c>
      <c r="B20">
        <v>117.6</v>
      </c>
      <c r="C20">
        <v>221.9</v>
      </c>
      <c r="D20">
        <v>892.3</v>
      </c>
      <c r="E20">
        <v>0.2487</v>
      </c>
    </row>
    <row r="21" spans="1:5">
      <c r="A21">
        <v>1977</v>
      </c>
      <c r="B21">
        <v>123.224</v>
      </c>
      <c r="C21">
        <v>232.5</v>
      </c>
      <c r="D21">
        <v>930.1</v>
      </c>
      <c r="E21">
        <v>0.25</v>
      </c>
    </row>
    <row r="22" spans="1:5">
      <c r="A22">
        <v>1978</v>
      </c>
      <c r="B22">
        <v>130.971</v>
      </c>
      <c r="C22">
        <v>243.5</v>
      </c>
      <c r="D22">
        <v>969.9</v>
      </c>
      <c r="E22">
        <v>0.25109999999999999</v>
      </c>
    </row>
    <row r="23" spans="1:5">
      <c r="A23">
        <v>1979</v>
      </c>
      <c r="B23">
        <v>138.84200000000001</v>
      </c>
      <c r="C23">
        <v>257.7</v>
      </c>
      <c r="D23">
        <v>1006.9</v>
      </c>
      <c r="E23">
        <v>0.25590000000000002</v>
      </c>
    </row>
    <row r="24" spans="1:5">
      <c r="A24">
        <v>1980</v>
      </c>
      <c r="B24">
        <v>135.48599999999999</v>
      </c>
      <c r="C24">
        <v>274.39999999999998</v>
      </c>
      <c r="D24">
        <v>1020.9</v>
      </c>
      <c r="E24">
        <v>0.26879999999999998</v>
      </c>
    </row>
    <row r="25" spans="1:5">
      <c r="A25">
        <v>1981</v>
      </c>
      <c r="B25">
        <v>133.441</v>
      </c>
      <c r="C25">
        <v>289.5</v>
      </c>
      <c r="D25">
        <v>1017.1</v>
      </c>
      <c r="E25">
        <v>0.28460000000000002</v>
      </c>
    </row>
    <row r="26" spans="1:5">
      <c r="A26">
        <v>1982</v>
      </c>
      <c r="B26">
        <v>130.38800000000001</v>
      </c>
      <c r="C26">
        <v>301.89999999999998</v>
      </c>
      <c r="D26">
        <v>1016.1</v>
      </c>
      <c r="E26">
        <v>0.29709999999999998</v>
      </c>
    </row>
    <row r="27" spans="1:5">
      <c r="A27">
        <v>1983</v>
      </c>
      <c r="B27">
        <v>130.61500000000001</v>
      </c>
      <c r="C27">
        <v>314.89999999999998</v>
      </c>
      <c r="D27">
        <v>1008.1</v>
      </c>
      <c r="E27">
        <v>0.31240000000000001</v>
      </c>
    </row>
    <row r="28" spans="1:5">
      <c r="A28">
        <v>1984</v>
      </c>
      <c r="B28">
        <v>132.244</v>
      </c>
      <c r="C28">
        <v>327.7</v>
      </c>
      <c r="D28">
        <v>985.1</v>
      </c>
      <c r="E28">
        <v>0.3327</v>
      </c>
    </row>
    <row r="29" spans="1:5">
      <c r="A29">
        <v>1985</v>
      </c>
      <c r="B29">
        <v>137.31800000000001</v>
      </c>
      <c r="C29">
        <v>339.4</v>
      </c>
      <c r="D29">
        <v>977.1</v>
      </c>
      <c r="E29">
        <v>0.34739999999999999</v>
      </c>
    </row>
    <row r="30" spans="1:5">
      <c r="A30">
        <v>1986</v>
      </c>
      <c r="B30">
        <v>137.46799999999999</v>
      </c>
      <c r="C30">
        <v>349.49200000000002</v>
      </c>
      <c r="D30">
        <v>1007.2</v>
      </c>
      <c r="E30">
        <v>0.34699999999999998</v>
      </c>
    </row>
    <row r="31" spans="1:5">
      <c r="A31">
        <v>1987</v>
      </c>
      <c r="B31">
        <v>135.75</v>
      </c>
      <c r="C31">
        <v>358.23099999999999</v>
      </c>
      <c r="D31">
        <v>1000</v>
      </c>
      <c r="E31">
        <v>0.35820000000000002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49A3-D01B-4FA2-B33A-87D754E64C38}">
  <dimension ref="A1:E58"/>
  <sheetViews>
    <sheetView workbookViewId="0">
      <selection sqref="A1:E58"/>
    </sheetView>
  </sheetViews>
  <sheetFormatPr defaultRowHeight="15"/>
  <sheetData>
    <row r="1" spans="1:5">
      <c r="A1" t="s">
        <v>522</v>
      </c>
    </row>
    <row r="2" spans="1:5">
      <c r="A2" t="s">
        <v>523</v>
      </c>
    </row>
    <row r="4" spans="1:5">
      <c r="A4" t="s">
        <v>63</v>
      </c>
      <c r="B4" t="s">
        <v>524</v>
      </c>
      <c r="C4" t="s">
        <v>525</v>
      </c>
      <c r="D4" t="s">
        <v>526</v>
      </c>
      <c r="E4" t="s">
        <v>527</v>
      </c>
    </row>
    <row r="5" spans="1:5">
      <c r="A5">
        <v>1947</v>
      </c>
      <c r="B5">
        <v>976.4</v>
      </c>
      <c r="C5">
        <v>1035.2</v>
      </c>
      <c r="D5">
        <v>5166.8</v>
      </c>
      <c r="E5">
        <v>-10.351000000000001</v>
      </c>
    </row>
    <row r="6" spans="1:5">
      <c r="A6">
        <v>1948</v>
      </c>
      <c r="B6">
        <v>998.1</v>
      </c>
      <c r="C6">
        <v>1090</v>
      </c>
      <c r="D6">
        <v>5280.8</v>
      </c>
      <c r="E6">
        <v>-4.72</v>
      </c>
    </row>
    <row r="7" spans="1:5">
      <c r="A7">
        <v>1949</v>
      </c>
      <c r="B7">
        <v>1025.3</v>
      </c>
      <c r="C7">
        <v>1095.5999999999999</v>
      </c>
      <c r="D7">
        <v>5607.4</v>
      </c>
      <c r="E7">
        <v>1.044</v>
      </c>
    </row>
    <row r="8" spans="1:5">
      <c r="A8">
        <v>1950</v>
      </c>
      <c r="B8">
        <v>1090.9000000000001</v>
      </c>
      <c r="C8">
        <v>1192.7</v>
      </c>
      <c r="D8">
        <v>5759.5</v>
      </c>
      <c r="E8">
        <v>0.40699999999999997</v>
      </c>
    </row>
    <row r="9" spans="1:5">
      <c r="A9">
        <v>1951</v>
      </c>
      <c r="B9">
        <v>1107.0999999999999</v>
      </c>
      <c r="C9">
        <v>1227</v>
      </c>
      <c r="D9">
        <v>6086.1</v>
      </c>
      <c r="E9">
        <v>-5.2830000000000004</v>
      </c>
    </row>
    <row r="10" spans="1:5">
      <c r="A10">
        <v>1952</v>
      </c>
      <c r="B10">
        <v>1142.4000000000001</v>
      </c>
      <c r="C10">
        <v>1266.8</v>
      </c>
      <c r="D10">
        <v>6243.9</v>
      </c>
      <c r="E10">
        <v>-0.27700000000000002</v>
      </c>
    </row>
    <row r="11" spans="1:5">
      <c r="A11">
        <v>1953</v>
      </c>
      <c r="B11">
        <v>1197.2</v>
      </c>
      <c r="C11">
        <v>1327.5</v>
      </c>
      <c r="D11">
        <v>6355.6</v>
      </c>
      <c r="E11">
        <v>0.56100000000000005</v>
      </c>
    </row>
    <row r="12" spans="1:5">
      <c r="A12">
        <v>1954</v>
      </c>
      <c r="B12">
        <v>1221.9000000000001</v>
      </c>
      <c r="C12">
        <v>1344</v>
      </c>
      <c r="D12">
        <v>6797</v>
      </c>
      <c r="E12">
        <v>-0.13800000000000001</v>
      </c>
    </row>
    <row r="13" spans="1:5">
      <c r="A13">
        <v>1955</v>
      </c>
      <c r="B13">
        <v>1310.4000000000001</v>
      </c>
      <c r="C13">
        <v>1433.8</v>
      </c>
      <c r="D13">
        <v>7172.2</v>
      </c>
      <c r="E13">
        <v>0.26200000000000001</v>
      </c>
    </row>
    <row r="14" spans="1:5">
      <c r="A14">
        <v>1956</v>
      </c>
      <c r="B14">
        <v>1348.8</v>
      </c>
      <c r="C14">
        <v>1502.3</v>
      </c>
      <c r="D14">
        <v>7375.2</v>
      </c>
      <c r="E14">
        <v>-0.73599999999999999</v>
      </c>
    </row>
    <row r="15" spans="1:5">
      <c r="A15">
        <v>1957</v>
      </c>
      <c r="B15">
        <v>1381.8</v>
      </c>
      <c r="C15">
        <v>1539.5</v>
      </c>
      <c r="D15">
        <v>7315.3</v>
      </c>
      <c r="E15">
        <v>-0.26100000000000001</v>
      </c>
    </row>
    <row r="16" spans="1:5">
      <c r="A16">
        <v>1958</v>
      </c>
      <c r="B16">
        <v>1393</v>
      </c>
      <c r="C16">
        <v>1553.7</v>
      </c>
      <c r="D16">
        <v>7870</v>
      </c>
      <c r="E16">
        <v>-0.57499999999999996</v>
      </c>
    </row>
    <row r="17" spans="1:5">
      <c r="A17">
        <v>1959</v>
      </c>
      <c r="B17">
        <v>1470.7</v>
      </c>
      <c r="C17">
        <v>1623.8</v>
      </c>
      <c r="D17">
        <v>8188.1</v>
      </c>
      <c r="E17">
        <v>2.2959999999999998</v>
      </c>
    </row>
    <row r="18" spans="1:5">
      <c r="A18">
        <v>1960</v>
      </c>
      <c r="B18">
        <v>1510.8</v>
      </c>
      <c r="C18">
        <v>1664.8</v>
      </c>
      <c r="D18">
        <v>8351.7999999999993</v>
      </c>
      <c r="E18">
        <v>1.5109999999999999</v>
      </c>
    </row>
    <row r="19" spans="1:5">
      <c r="A19">
        <v>1961</v>
      </c>
      <c r="B19">
        <v>1541.2</v>
      </c>
      <c r="C19">
        <v>1720</v>
      </c>
      <c r="D19">
        <v>8971.9</v>
      </c>
      <c r="E19">
        <v>1.296</v>
      </c>
    </row>
    <row r="20" spans="1:5">
      <c r="A20">
        <v>1962</v>
      </c>
      <c r="B20">
        <v>1617.3</v>
      </c>
      <c r="C20">
        <v>1803.5</v>
      </c>
      <c r="D20">
        <v>9091.5</v>
      </c>
      <c r="E20">
        <v>1.3959999999999999</v>
      </c>
    </row>
    <row r="21" spans="1:5">
      <c r="A21">
        <v>1963</v>
      </c>
      <c r="B21">
        <v>1684</v>
      </c>
      <c r="C21">
        <v>1871.5</v>
      </c>
      <c r="D21">
        <v>9436.1</v>
      </c>
      <c r="E21">
        <v>2.0579999999999998</v>
      </c>
    </row>
    <row r="22" spans="1:5">
      <c r="A22">
        <v>1964</v>
      </c>
      <c r="B22">
        <v>1784.8</v>
      </c>
      <c r="C22">
        <v>2006.9</v>
      </c>
      <c r="D22">
        <v>10003.4</v>
      </c>
      <c r="E22">
        <v>2.0270000000000001</v>
      </c>
    </row>
    <row r="23" spans="1:5">
      <c r="A23">
        <v>1965</v>
      </c>
      <c r="B23">
        <v>1897.6</v>
      </c>
      <c r="C23">
        <v>2131</v>
      </c>
      <c r="D23">
        <v>10562.8</v>
      </c>
      <c r="E23">
        <v>2.1120000000000001</v>
      </c>
    </row>
    <row r="24" spans="1:5">
      <c r="A24">
        <v>1966</v>
      </c>
      <c r="B24">
        <v>2006.1</v>
      </c>
      <c r="C24">
        <v>2244.6</v>
      </c>
      <c r="D24">
        <v>10522</v>
      </c>
      <c r="E24">
        <v>2.02</v>
      </c>
    </row>
    <row r="25" spans="1:5">
      <c r="A25">
        <v>1967</v>
      </c>
      <c r="B25">
        <v>2066.1999999999998</v>
      </c>
      <c r="C25">
        <v>2340.5</v>
      </c>
      <c r="D25">
        <v>11312.1</v>
      </c>
      <c r="E25">
        <v>1.2130000000000001</v>
      </c>
    </row>
    <row r="26" spans="1:5">
      <c r="A26">
        <v>1968</v>
      </c>
      <c r="B26">
        <v>2184.1999999999998</v>
      </c>
      <c r="C26">
        <v>2448.1999999999998</v>
      </c>
      <c r="D26">
        <v>12145.4</v>
      </c>
      <c r="E26">
        <v>1.0549999999999999</v>
      </c>
    </row>
    <row r="27" spans="1:5">
      <c r="A27">
        <v>1969</v>
      </c>
      <c r="B27">
        <v>2264.8000000000002</v>
      </c>
      <c r="C27">
        <v>2524.3000000000002</v>
      </c>
      <c r="D27">
        <v>11672.3</v>
      </c>
      <c r="E27">
        <v>1.732</v>
      </c>
    </row>
    <row r="28" spans="1:5">
      <c r="A28">
        <v>1970</v>
      </c>
      <c r="B28">
        <v>2317.5</v>
      </c>
      <c r="C28">
        <v>2630</v>
      </c>
      <c r="D28">
        <v>11650</v>
      </c>
      <c r="E28">
        <v>1.1659999999999999</v>
      </c>
    </row>
    <row r="29" spans="1:5">
      <c r="A29">
        <v>1971</v>
      </c>
      <c r="B29">
        <v>2405.1999999999998</v>
      </c>
      <c r="C29">
        <v>2745.3</v>
      </c>
      <c r="D29">
        <v>12312.9</v>
      </c>
      <c r="E29">
        <v>-0.71199999999999997</v>
      </c>
    </row>
    <row r="30" spans="1:5">
      <c r="A30">
        <v>1972</v>
      </c>
      <c r="B30">
        <v>2550.5</v>
      </c>
      <c r="C30">
        <v>2874.3</v>
      </c>
      <c r="D30">
        <v>13499.9</v>
      </c>
      <c r="E30">
        <v>-0.156</v>
      </c>
    </row>
    <row r="31" spans="1:5">
      <c r="A31">
        <v>1973</v>
      </c>
      <c r="B31">
        <v>2675.9</v>
      </c>
      <c r="C31">
        <v>3072.3</v>
      </c>
      <c r="D31">
        <v>13081</v>
      </c>
      <c r="E31">
        <v>1.4139999999999999</v>
      </c>
    </row>
    <row r="32" spans="1:5">
      <c r="A32">
        <v>1974</v>
      </c>
      <c r="B32">
        <v>2653.7</v>
      </c>
      <c r="C32">
        <v>3051.9</v>
      </c>
      <c r="D32">
        <v>11868.8</v>
      </c>
      <c r="E32">
        <v>-1.0429999999999999</v>
      </c>
    </row>
    <row r="33" spans="1:5">
      <c r="A33">
        <v>1975</v>
      </c>
      <c r="B33">
        <v>2710.9</v>
      </c>
      <c r="C33">
        <v>3108.5</v>
      </c>
      <c r="D33">
        <v>12634.4</v>
      </c>
      <c r="E33">
        <v>-3.5339999999999998</v>
      </c>
    </row>
    <row r="34" spans="1:5">
      <c r="A34">
        <v>1976</v>
      </c>
      <c r="B34">
        <v>2868.9</v>
      </c>
      <c r="C34">
        <v>3243.5</v>
      </c>
      <c r="D34">
        <v>13456.8</v>
      </c>
      <c r="E34">
        <v>-0.65700000000000003</v>
      </c>
    </row>
    <row r="35" spans="1:5">
      <c r="A35">
        <v>1977</v>
      </c>
      <c r="B35">
        <v>2992.1</v>
      </c>
      <c r="C35">
        <v>3360.7</v>
      </c>
      <c r="D35">
        <v>13786.3</v>
      </c>
      <c r="E35">
        <v>-1.19</v>
      </c>
    </row>
    <row r="36" spans="1:5">
      <c r="A36">
        <v>1978</v>
      </c>
      <c r="B36">
        <v>3124.7</v>
      </c>
      <c r="C36">
        <v>3527.5</v>
      </c>
      <c r="D36">
        <v>14450.5</v>
      </c>
      <c r="E36">
        <v>0.113</v>
      </c>
    </row>
    <row r="37" spans="1:5">
      <c r="A37">
        <v>1979</v>
      </c>
      <c r="B37">
        <v>3203.2</v>
      </c>
      <c r="C37">
        <v>3628.6</v>
      </c>
      <c r="D37">
        <v>15340</v>
      </c>
      <c r="E37">
        <v>1.704</v>
      </c>
    </row>
    <row r="38" spans="1:5">
      <c r="A38">
        <v>1980</v>
      </c>
      <c r="B38">
        <v>3193</v>
      </c>
      <c r="C38">
        <v>3658</v>
      </c>
      <c r="D38">
        <v>15965</v>
      </c>
      <c r="E38">
        <v>2.298</v>
      </c>
    </row>
    <row r="39" spans="1:5">
      <c r="A39">
        <v>1981</v>
      </c>
      <c r="B39">
        <v>3236</v>
      </c>
      <c r="C39">
        <v>3741.1</v>
      </c>
      <c r="D39">
        <v>15965</v>
      </c>
      <c r="E39">
        <v>4.7039999999999997</v>
      </c>
    </row>
    <row r="40" spans="1:5">
      <c r="A40">
        <v>1982</v>
      </c>
      <c r="B40">
        <v>3275.5</v>
      </c>
      <c r="C40">
        <v>3791.7</v>
      </c>
      <c r="D40">
        <v>16312.5</v>
      </c>
      <c r="E40">
        <v>4.4489999999999998</v>
      </c>
    </row>
    <row r="41" spans="1:5">
      <c r="A41">
        <v>1983</v>
      </c>
      <c r="B41">
        <v>3454.3</v>
      </c>
      <c r="C41">
        <v>3906.9</v>
      </c>
      <c r="D41">
        <v>16944.8</v>
      </c>
      <c r="E41">
        <v>4.6909999999999998</v>
      </c>
    </row>
    <row r="42" spans="1:5">
      <c r="A42">
        <v>1984</v>
      </c>
      <c r="B42">
        <v>3640.6</v>
      </c>
      <c r="C42">
        <v>4207.6000000000004</v>
      </c>
      <c r="D42">
        <v>17526.7</v>
      </c>
      <c r="E42">
        <v>5.8479999999999999</v>
      </c>
    </row>
    <row r="43" spans="1:5">
      <c r="A43">
        <v>1985</v>
      </c>
      <c r="B43">
        <v>3820.9</v>
      </c>
      <c r="C43">
        <v>4347.8</v>
      </c>
      <c r="D43">
        <v>19068.3</v>
      </c>
      <c r="E43">
        <v>4.3310000000000004</v>
      </c>
    </row>
    <row r="44" spans="1:5">
      <c r="A44">
        <v>1986</v>
      </c>
      <c r="B44">
        <v>3981.2</v>
      </c>
      <c r="C44">
        <v>4486.6000000000004</v>
      </c>
      <c r="D44">
        <v>20530</v>
      </c>
      <c r="E44">
        <v>3.7679999999999998</v>
      </c>
    </row>
    <row r="45" spans="1:5">
      <c r="A45">
        <v>1987</v>
      </c>
      <c r="B45">
        <v>4113.3999999999996</v>
      </c>
      <c r="C45">
        <v>4582.5</v>
      </c>
      <c r="D45">
        <v>21235.7</v>
      </c>
      <c r="E45">
        <v>2.819</v>
      </c>
    </row>
    <row r="46" spans="1:5">
      <c r="A46">
        <v>1988</v>
      </c>
      <c r="B46">
        <v>4279.5</v>
      </c>
      <c r="C46">
        <v>4784.1000000000004</v>
      </c>
      <c r="D46">
        <v>22332</v>
      </c>
      <c r="E46">
        <v>3.2869999999999999</v>
      </c>
    </row>
    <row r="47" spans="1:5">
      <c r="A47">
        <v>1989</v>
      </c>
      <c r="B47">
        <v>4393.7</v>
      </c>
      <c r="C47">
        <v>4906.5</v>
      </c>
      <c r="D47">
        <v>23659.8</v>
      </c>
      <c r="E47">
        <v>4.3179999999999996</v>
      </c>
    </row>
    <row r="48" spans="1:5">
      <c r="A48">
        <v>1990</v>
      </c>
      <c r="B48">
        <v>4474.5</v>
      </c>
      <c r="C48">
        <v>5014.2</v>
      </c>
      <c r="D48">
        <v>23105.1</v>
      </c>
      <c r="E48">
        <v>3.5950000000000002</v>
      </c>
    </row>
    <row r="49" spans="1:5">
      <c r="A49">
        <v>1991</v>
      </c>
      <c r="B49">
        <v>4466.6000000000004</v>
      </c>
      <c r="C49">
        <v>5033</v>
      </c>
      <c r="D49">
        <v>24050.2</v>
      </c>
      <c r="E49">
        <v>1.8029999999999999</v>
      </c>
    </row>
    <row r="50" spans="1:5">
      <c r="A50">
        <v>1992</v>
      </c>
      <c r="B50">
        <v>4594.5</v>
      </c>
      <c r="C50">
        <v>5189.3</v>
      </c>
      <c r="D50">
        <v>24418.2</v>
      </c>
      <c r="E50">
        <v>1.0069999999999999</v>
      </c>
    </row>
    <row r="51" spans="1:5">
      <c r="A51">
        <v>1993</v>
      </c>
      <c r="B51">
        <v>4748.8999999999996</v>
      </c>
      <c r="C51">
        <v>5261.3</v>
      </c>
      <c r="D51">
        <v>25092.3</v>
      </c>
      <c r="E51">
        <v>0.625</v>
      </c>
    </row>
    <row r="52" spans="1:5">
      <c r="A52">
        <v>1994</v>
      </c>
      <c r="B52">
        <v>4928.1000000000004</v>
      </c>
      <c r="C52">
        <v>5397.2</v>
      </c>
      <c r="D52">
        <v>25218.6</v>
      </c>
      <c r="E52">
        <v>2.206</v>
      </c>
    </row>
    <row r="53" spans="1:5">
      <c r="A53">
        <v>1995</v>
      </c>
      <c r="B53">
        <v>5075.6000000000004</v>
      </c>
      <c r="C53">
        <v>5539.1</v>
      </c>
      <c r="D53">
        <v>27439.7</v>
      </c>
      <c r="E53">
        <v>3.3330000000000002</v>
      </c>
    </row>
    <row r="54" spans="1:5">
      <c r="A54">
        <v>1996</v>
      </c>
      <c r="B54">
        <v>5237.5</v>
      </c>
      <c r="C54">
        <v>5677.7</v>
      </c>
      <c r="D54">
        <v>29448.2</v>
      </c>
      <c r="E54">
        <v>3.0830000000000002</v>
      </c>
    </row>
    <row r="55" spans="1:5">
      <c r="A55">
        <v>1997</v>
      </c>
      <c r="B55">
        <v>5423.9</v>
      </c>
      <c r="C55">
        <v>5854.5</v>
      </c>
      <c r="D55">
        <v>32664.1</v>
      </c>
      <c r="E55">
        <v>3.12</v>
      </c>
    </row>
    <row r="56" spans="1:5">
      <c r="A56">
        <v>1998</v>
      </c>
      <c r="B56">
        <v>5683.7</v>
      </c>
      <c r="C56">
        <v>6168.6</v>
      </c>
      <c r="D56">
        <v>35587</v>
      </c>
      <c r="E56">
        <v>3.5840000000000001</v>
      </c>
    </row>
    <row r="57" spans="1:5">
      <c r="A57">
        <v>1999</v>
      </c>
      <c r="B57">
        <v>5968.4</v>
      </c>
      <c r="C57">
        <v>6320</v>
      </c>
      <c r="D57">
        <v>39591.300000000003</v>
      </c>
      <c r="E57">
        <v>3.2450000000000001</v>
      </c>
    </row>
    <row r="58" spans="1:5">
      <c r="A58">
        <v>2000</v>
      </c>
      <c r="B58">
        <v>6257.8</v>
      </c>
      <c r="C58">
        <v>6539.2</v>
      </c>
      <c r="D58">
        <v>38167.699999999997</v>
      </c>
      <c r="E58">
        <v>3.5760000000000001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8347-A2F8-4EBD-B625-91E893DC6767}">
  <dimension ref="A1:C263"/>
  <sheetViews>
    <sheetView workbookViewId="0">
      <selection sqref="A1:C263"/>
    </sheetView>
  </sheetViews>
  <sheetFormatPr defaultRowHeight="15"/>
  <sheetData>
    <row r="1" spans="1:3">
      <c r="A1" t="s">
        <v>528</v>
      </c>
    </row>
    <row r="3" spans="1:3">
      <c r="A3" t="s">
        <v>529</v>
      </c>
      <c r="B3" t="s">
        <v>530</v>
      </c>
      <c r="C3" t="s">
        <v>531</v>
      </c>
    </row>
    <row r="4" spans="1:3">
      <c r="A4" s="88">
        <v>34702</v>
      </c>
      <c r="B4">
        <v>1</v>
      </c>
      <c r="C4">
        <v>23.47</v>
      </c>
    </row>
    <row r="5" spans="1:3">
      <c r="A5" s="88">
        <v>34708</v>
      </c>
      <c r="B5">
        <v>2</v>
      </c>
      <c r="C5">
        <v>20.54</v>
      </c>
    </row>
    <row r="6" spans="1:3">
      <c r="A6" s="88">
        <v>34715</v>
      </c>
      <c r="B6">
        <v>3</v>
      </c>
      <c r="C6">
        <v>22.74</v>
      </c>
    </row>
    <row r="7" spans="1:3">
      <c r="A7" s="88">
        <v>34722</v>
      </c>
      <c r="B7">
        <v>4</v>
      </c>
      <c r="C7">
        <v>27.88</v>
      </c>
    </row>
    <row r="8" spans="1:3">
      <c r="A8" s="88">
        <v>34729</v>
      </c>
      <c r="B8">
        <v>5</v>
      </c>
      <c r="C8">
        <v>27.39</v>
      </c>
    </row>
    <row r="9" spans="1:3">
      <c r="A9" s="88">
        <v>34736</v>
      </c>
      <c r="B9">
        <v>6</v>
      </c>
      <c r="C9">
        <v>27.63</v>
      </c>
    </row>
    <row r="10" spans="1:3">
      <c r="A10" s="88">
        <v>34743</v>
      </c>
      <c r="B10">
        <v>7</v>
      </c>
      <c r="C10">
        <v>24.94</v>
      </c>
    </row>
    <row r="11" spans="1:3">
      <c r="A11" s="88">
        <v>34751</v>
      </c>
      <c r="B11">
        <v>8</v>
      </c>
      <c r="C11">
        <v>27.63</v>
      </c>
    </row>
    <row r="12" spans="1:3">
      <c r="A12" s="88">
        <v>34757</v>
      </c>
      <c r="B12">
        <v>9</v>
      </c>
      <c r="C12">
        <v>28.61</v>
      </c>
    </row>
    <row r="13" spans="1:3">
      <c r="A13" s="88">
        <v>34764</v>
      </c>
      <c r="B13">
        <v>10</v>
      </c>
      <c r="C13">
        <v>28.85</v>
      </c>
    </row>
    <row r="14" spans="1:3">
      <c r="A14" s="88">
        <v>34771</v>
      </c>
      <c r="B14">
        <v>11</v>
      </c>
      <c r="C14">
        <v>32.03</v>
      </c>
    </row>
    <row r="15" spans="1:3">
      <c r="A15" s="88">
        <v>34778</v>
      </c>
      <c r="B15">
        <v>12</v>
      </c>
      <c r="C15">
        <v>31.79</v>
      </c>
    </row>
    <row r="16" spans="1:3">
      <c r="A16" s="88">
        <v>34785</v>
      </c>
      <c r="B16">
        <v>13</v>
      </c>
      <c r="C16">
        <v>32.03</v>
      </c>
    </row>
    <row r="17" spans="1:3">
      <c r="A17" s="88">
        <v>34792</v>
      </c>
      <c r="B17">
        <v>14</v>
      </c>
      <c r="C17">
        <v>29.34</v>
      </c>
    </row>
    <row r="18" spans="1:3">
      <c r="A18" s="88">
        <v>34799</v>
      </c>
      <c r="B18">
        <v>15</v>
      </c>
      <c r="C18">
        <v>26.29</v>
      </c>
    </row>
    <row r="19" spans="1:3">
      <c r="A19" s="88">
        <v>34806</v>
      </c>
      <c r="B19">
        <v>16</v>
      </c>
      <c r="C19">
        <v>25.67</v>
      </c>
    </row>
    <row r="20" spans="1:3">
      <c r="A20" s="88">
        <v>34813</v>
      </c>
      <c r="B20">
        <v>17</v>
      </c>
      <c r="C20">
        <v>25.67</v>
      </c>
    </row>
    <row r="21" spans="1:3">
      <c r="A21" s="88">
        <v>34820</v>
      </c>
      <c r="B21">
        <v>18</v>
      </c>
      <c r="C21">
        <v>24.82</v>
      </c>
    </row>
    <row r="22" spans="1:3">
      <c r="A22" s="88">
        <v>34827</v>
      </c>
      <c r="B22">
        <v>19</v>
      </c>
      <c r="C22">
        <v>28.98</v>
      </c>
    </row>
    <row r="23" spans="1:3">
      <c r="A23" s="88">
        <v>34834</v>
      </c>
      <c r="B23">
        <v>20</v>
      </c>
      <c r="C23">
        <v>26.47</v>
      </c>
    </row>
    <row r="24" spans="1:3">
      <c r="A24" s="88">
        <v>34841</v>
      </c>
      <c r="B24">
        <v>21</v>
      </c>
      <c r="C24">
        <v>25.19</v>
      </c>
    </row>
    <row r="25" spans="1:3">
      <c r="A25" s="88">
        <v>34849</v>
      </c>
      <c r="B25">
        <v>22</v>
      </c>
      <c r="C25">
        <v>27.39</v>
      </c>
    </row>
    <row r="26" spans="1:3">
      <c r="A26" s="88">
        <v>34855</v>
      </c>
      <c r="B26">
        <v>23</v>
      </c>
      <c r="C26">
        <v>33.07</v>
      </c>
    </row>
    <row r="27" spans="1:3">
      <c r="A27" s="88">
        <v>34862</v>
      </c>
      <c r="B27">
        <v>24</v>
      </c>
      <c r="C27">
        <v>33.25</v>
      </c>
    </row>
    <row r="28" spans="1:3">
      <c r="A28" s="88">
        <v>34869</v>
      </c>
      <c r="B28">
        <v>25</v>
      </c>
      <c r="C28">
        <v>33.01</v>
      </c>
    </row>
    <row r="29" spans="1:3">
      <c r="A29" s="88">
        <v>34876</v>
      </c>
      <c r="B29">
        <v>26</v>
      </c>
      <c r="C29">
        <v>33.799999999999997</v>
      </c>
    </row>
    <row r="30" spans="1:3">
      <c r="A30" s="88">
        <v>34883</v>
      </c>
      <c r="B30">
        <v>27</v>
      </c>
      <c r="C30">
        <v>36.68</v>
      </c>
    </row>
    <row r="31" spans="1:3">
      <c r="A31" s="88">
        <v>34890</v>
      </c>
      <c r="B31">
        <v>28</v>
      </c>
      <c r="C31">
        <v>38.020000000000003</v>
      </c>
    </row>
    <row r="32" spans="1:3">
      <c r="A32" s="88">
        <v>34897</v>
      </c>
      <c r="B32">
        <v>29</v>
      </c>
      <c r="C32">
        <v>40.83</v>
      </c>
    </row>
    <row r="33" spans="1:3">
      <c r="A33" s="88">
        <v>34904</v>
      </c>
      <c r="B33">
        <v>30</v>
      </c>
      <c r="C33">
        <v>41.69</v>
      </c>
    </row>
    <row r="34" spans="1:3">
      <c r="A34" s="88">
        <v>34911</v>
      </c>
      <c r="B34">
        <v>31</v>
      </c>
      <c r="C34">
        <v>43.28</v>
      </c>
    </row>
    <row r="35" spans="1:3">
      <c r="A35" s="88">
        <v>34918</v>
      </c>
      <c r="B35">
        <v>32</v>
      </c>
      <c r="C35">
        <v>44.75</v>
      </c>
    </row>
    <row r="36" spans="1:3">
      <c r="A36" s="88">
        <v>34925</v>
      </c>
      <c r="B36">
        <v>33</v>
      </c>
      <c r="C36">
        <v>50.86</v>
      </c>
    </row>
    <row r="37" spans="1:3">
      <c r="A37" s="88">
        <v>34932</v>
      </c>
      <c r="B37">
        <v>34</v>
      </c>
      <c r="C37">
        <v>49.03</v>
      </c>
    </row>
    <row r="38" spans="1:3">
      <c r="A38" s="88">
        <v>34939</v>
      </c>
      <c r="B38">
        <v>35</v>
      </c>
      <c r="C38">
        <v>48.78</v>
      </c>
    </row>
    <row r="39" spans="1:3">
      <c r="A39" s="88">
        <v>34947</v>
      </c>
      <c r="B39">
        <v>36</v>
      </c>
      <c r="C39">
        <v>49.39</v>
      </c>
    </row>
    <row r="40" spans="1:3">
      <c r="A40" s="88">
        <v>34953</v>
      </c>
      <c r="B40">
        <v>37</v>
      </c>
      <c r="C40">
        <v>46.58</v>
      </c>
    </row>
    <row r="41" spans="1:3">
      <c r="A41" s="88">
        <v>34960</v>
      </c>
      <c r="B41">
        <v>38</v>
      </c>
      <c r="C41">
        <v>45.97</v>
      </c>
    </row>
    <row r="42" spans="1:3">
      <c r="A42" s="88">
        <v>34967</v>
      </c>
      <c r="B42">
        <v>39</v>
      </c>
      <c r="C42">
        <v>44.87</v>
      </c>
    </row>
    <row r="43" spans="1:3">
      <c r="A43" s="88">
        <v>34974</v>
      </c>
      <c r="B43">
        <v>40</v>
      </c>
      <c r="C43">
        <v>39.61</v>
      </c>
    </row>
    <row r="44" spans="1:3">
      <c r="A44" s="88">
        <v>34981</v>
      </c>
      <c r="B44">
        <v>41</v>
      </c>
      <c r="C44">
        <v>39.61</v>
      </c>
    </row>
    <row r="45" spans="1:3">
      <c r="A45" s="88">
        <v>34988</v>
      </c>
      <c r="B45">
        <v>42</v>
      </c>
      <c r="C45">
        <v>36.43</v>
      </c>
    </row>
    <row r="46" spans="1:3">
      <c r="A46" s="88">
        <v>34995</v>
      </c>
      <c r="B46">
        <v>43</v>
      </c>
      <c r="C46">
        <v>39.61</v>
      </c>
    </row>
    <row r="47" spans="1:3">
      <c r="A47" s="88">
        <v>35002</v>
      </c>
      <c r="B47">
        <v>44</v>
      </c>
      <c r="C47">
        <v>42.06</v>
      </c>
    </row>
    <row r="48" spans="1:3">
      <c r="A48" s="88">
        <v>35009</v>
      </c>
      <c r="B48">
        <v>45</v>
      </c>
      <c r="C48">
        <v>46.34</v>
      </c>
    </row>
    <row r="49" spans="1:3">
      <c r="A49" s="88">
        <v>35016</v>
      </c>
      <c r="B49">
        <v>46</v>
      </c>
      <c r="C49">
        <v>44.5</v>
      </c>
    </row>
    <row r="50" spans="1:3">
      <c r="A50" s="88">
        <v>35023</v>
      </c>
      <c r="B50">
        <v>47</v>
      </c>
      <c r="C50">
        <v>41.2</v>
      </c>
    </row>
    <row r="51" spans="1:3">
      <c r="A51" s="88">
        <v>35030</v>
      </c>
      <c r="B51">
        <v>48</v>
      </c>
      <c r="C51">
        <v>40.1</v>
      </c>
    </row>
    <row r="52" spans="1:3">
      <c r="A52" s="88">
        <v>35037</v>
      </c>
      <c r="B52">
        <v>49</v>
      </c>
      <c r="C52">
        <v>40.71</v>
      </c>
    </row>
    <row r="53" spans="1:3">
      <c r="A53" s="88">
        <v>35044</v>
      </c>
      <c r="B53">
        <v>50</v>
      </c>
      <c r="C53">
        <v>36.56</v>
      </c>
    </row>
    <row r="54" spans="1:3">
      <c r="A54" s="88">
        <v>35051</v>
      </c>
      <c r="B54">
        <v>51</v>
      </c>
      <c r="C54">
        <v>43.52</v>
      </c>
    </row>
    <row r="55" spans="1:3">
      <c r="A55" s="88">
        <v>35059</v>
      </c>
      <c r="B55">
        <v>52</v>
      </c>
      <c r="C55">
        <v>42.06</v>
      </c>
    </row>
    <row r="56" spans="1:3">
      <c r="A56" s="88">
        <v>35066</v>
      </c>
      <c r="B56">
        <v>53</v>
      </c>
      <c r="C56">
        <v>40.590000000000003</v>
      </c>
    </row>
    <row r="57" spans="1:3">
      <c r="A57" s="88">
        <v>35072</v>
      </c>
      <c r="B57">
        <v>54</v>
      </c>
      <c r="C57">
        <v>37.17</v>
      </c>
    </row>
    <row r="58" spans="1:3">
      <c r="A58" s="88">
        <v>35079</v>
      </c>
      <c r="B58">
        <v>55</v>
      </c>
      <c r="C58">
        <v>42.06</v>
      </c>
    </row>
    <row r="59" spans="1:3">
      <c r="A59" s="88">
        <v>35086</v>
      </c>
      <c r="B59">
        <v>56</v>
      </c>
      <c r="C59">
        <v>43.04</v>
      </c>
    </row>
    <row r="60" spans="1:3">
      <c r="A60" s="88">
        <v>35093</v>
      </c>
      <c r="B60">
        <v>57</v>
      </c>
      <c r="C60">
        <v>46.7</v>
      </c>
    </row>
    <row r="61" spans="1:3">
      <c r="A61" s="88">
        <v>35100</v>
      </c>
      <c r="B61">
        <v>58</v>
      </c>
      <c r="C61">
        <v>47.56</v>
      </c>
    </row>
    <row r="62" spans="1:3">
      <c r="A62" s="88">
        <v>35107</v>
      </c>
      <c r="B62">
        <v>59</v>
      </c>
      <c r="C62">
        <v>46.34</v>
      </c>
    </row>
    <row r="63" spans="1:3">
      <c r="A63" s="88">
        <v>35115</v>
      </c>
      <c r="B63">
        <v>60</v>
      </c>
      <c r="C63">
        <v>41.57</v>
      </c>
    </row>
    <row r="64" spans="1:3">
      <c r="A64" s="88">
        <v>35121</v>
      </c>
      <c r="B64">
        <v>61</v>
      </c>
      <c r="C64">
        <v>39.119999999999997</v>
      </c>
    </row>
    <row r="65" spans="1:3">
      <c r="A65" s="88">
        <v>35128</v>
      </c>
      <c r="B65">
        <v>62</v>
      </c>
      <c r="C65">
        <v>35.82</v>
      </c>
    </row>
    <row r="66" spans="1:3">
      <c r="A66" s="88">
        <v>35135</v>
      </c>
      <c r="B66">
        <v>63</v>
      </c>
      <c r="C66">
        <v>36.68</v>
      </c>
    </row>
    <row r="67" spans="1:3">
      <c r="A67" s="88">
        <v>35142</v>
      </c>
      <c r="B67">
        <v>64</v>
      </c>
      <c r="C67">
        <v>38.39</v>
      </c>
    </row>
    <row r="68" spans="1:3">
      <c r="A68" s="88">
        <v>35149</v>
      </c>
      <c r="B68">
        <v>65</v>
      </c>
      <c r="C68">
        <v>40.590000000000003</v>
      </c>
    </row>
    <row r="69" spans="1:3">
      <c r="A69" s="88">
        <v>35156</v>
      </c>
      <c r="B69">
        <v>66</v>
      </c>
      <c r="C69">
        <v>39.729999999999997</v>
      </c>
    </row>
    <row r="70" spans="1:3">
      <c r="A70" s="88">
        <v>35163</v>
      </c>
      <c r="B70">
        <v>67</v>
      </c>
      <c r="C70">
        <v>38.94</v>
      </c>
    </row>
    <row r="71" spans="1:3">
      <c r="A71" s="88">
        <v>35170</v>
      </c>
      <c r="B71">
        <v>68</v>
      </c>
      <c r="C71">
        <v>32.28</v>
      </c>
    </row>
    <row r="72" spans="1:3">
      <c r="A72" s="88">
        <v>35177</v>
      </c>
      <c r="B72">
        <v>69</v>
      </c>
      <c r="C72">
        <v>39.49</v>
      </c>
    </row>
    <row r="73" spans="1:3">
      <c r="A73" s="88">
        <v>35184</v>
      </c>
      <c r="B73">
        <v>70</v>
      </c>
      <c r="C73">
        <v>37.78</v>
      </c>
    </row>
    <row r="74" spans="1:3">
      <c r="A74" s="88">
        <v>35191</v>
      </c>
      <c r="B74">
        <v>71</v>
      </c>
      <c r="C74">
        <v>41.69</v>
      </c>
    </row>
    <row r="75" spans="1:3">
      <c r="A75" s="88">
        <v>35198</v>
      </c>
      <c r="B75">
        <v>72</v>
      </c>
      <c r="C75">
        <v>49.15</v>
      </c>
    </row>
    <row r="76" spans="1:3">
      <c r="A76" s="88">
        <v>35205</v>
      </c>
      <c r="B76">
        <v>73</v>
      </c>
      <c r="C76">
        <v>48.29</v>
      </c>
    </row>
    <row r="77" spans="1:3">
      <c r="A77" s="88">
        <v>35213</v>
      </c>
      <c r="B77">
        <v>74</v>
      </c>
      <c r="C77">
        <v>53.24</v>
      </c>
    </row>
    <row r="78" spans="1:3">
      <c r="A78" s="88">
        <v>35219</v>
      </c>
      <c r="B78">
        <v>75</v>
      </c>
      <c r="C78">
        <v>50.98</v>
      </c>
    </row>
    <row r="79" spans="1:3">
      <c r="A79" s="88">
        <v>35226</v>
      </c>
      <c r="B79">
        <v>76</v>
      </c>
      <c r="C79">
        <v>47.19</v>
      </c>
    </row>
    <row r="80" spans="1:3">
      <c r="A80" s="88">
        <v>35233</v>
      </c>
      <c r="B80">
        <v>77</v>
      </c>
      <c r="C80">
        <v>51.96</v>
      </c>
    </row>
    <row r="81" spans="1:3">
      <c r="A81" s="88">
        <v>35240</v>
      </c>
      <c r="B81">
        <v>78</v>
      </c>
      <c r="C81">
        <v>51.96</v>
      </c>
    </row>
    <row r="82" spans="1:3">
      <c r="A82" s="88">
        <v>35247</v>
      </c>
      <c r="B82">
        <v>79</v>
      </c>
      <c r="C82">
        <v>48.66</v>
      </c>
    </row>
    <row r="83" spans="1:3">
      <c r="A83" s="88">
        <v>35254</v>
      </c>
      <c r="B83">
        <v>80</v>
      </c>
      <c r="C83">
        <v>42.79</v>
      </c>
    </row>
    <row r="84" spans="1:3">
      <c r="A84" s="88">
        <v>35261</v>
      </c>
      <c r="B84">
        <v>81</v>
      </c>
      <c r="C84">
        <v>37.9</v>
      </c>
    </row>
    <row r="85" spans="1:3">
      <c r="A85" s="88">
        <v>35268</v>
      </c>
      <c r="B85">
        <v>82</v>
      </c>
      <c r="C85">
        <v>42.42</v>
      </c>
    </row>
    <row r="86" spans="1:3">
      <c r="A86" s="88">
        <v>35275</v>
      </c>
      <c r="B86">
        <v>83</v>
      </c>
      <c r="C86">
        <v>45.36</v>
      </c>
    </row>
    <row r="87" spans="1:3">
      <c r="A87" s="88">
        <v>35282</v>
      </c>
      <c r="B87">
        <v>84</v>
      </c>
      <c r="C87">
        <v>44.99</v>
      </c>
    </row>
    <row r="88" spans="1:3">
      <c r="A88" s="88">
        <v>35289</v>
      </c>
      <c r="B88">
        <v>85</v>
      </c>
      <c r="C88">
        <v>45.48</v>
      </c>
    </row>
    <row r="89" spans="1:3">
      <c r="A89" s="88">
        <v>35296</v>
      </c>
      <c r="B89">
        <v>86</v>
      </c>
      <c r="C89">
        <v>44.87</v>
      </c>
    </row>
    <row r="90" spans="1:3">
      <c r="A90" s="88">
        <v>35303</v>
      </c>
      <c r="B90">
        <v>87</v>
      </c>
      <c r="C90">
        <v>42.42</v>
      </c>
    </row>
    <row r="91" spans="1:3">
      <c r="A91" s="88">
        <v>35311</v>
      </c>
      <c r="B91">
        <v>88</v>
      </c>
      <c r="C91">
        <v>39.49</v>
      </c>
    </row>
    <row r="92" spans="1:3">
      <c r="A92" s="88">
        <v>35317</v>
      </c>
      <c r="B92">
        <v>89</v>
      </c>
      <c r="C92">
        <v>40.590000000000003</v>
      </c>
    </row>
    <row r="93" spans="1:3">
      <c r="A93" s="88">
        <v>35324</v>
      </c>
      <c r="B93">
        <v>90</v>
      </c>
      <c r="C93">
        <v>39</v>
      </c>
    </row>
    <row r="94" spans="1:3">
      <c r="A94" s="88">
        <v>35331</v>
      </c>
      <c r="B94">
        <v>91</v>
      </c>
      <c r="C94">
        <v>42.61</v>
      </c>
    </row>
    <row r="95" spans="1:3">
      <c r="A95" s="88">
        <v>35338</v>
      </c>
      <c r="B95">
        <v>92</v>
      </c>
      <c r="C95">
        <v>37.78</v>
      </c>
    </row>
    <row r="96" spans="1:3">
      <c r="A96" s="88">
        <v>35345</v>
      </c>
      <c r="B96">
        <v>93</v>
      </c>
      <c r="C96">
        <v>40.47</v>
      </c>
    </row>
    <row r="97" spans="1:3">
      <c r="A97" s="88">
        <v>35352</v>
      </c>
      <c r="B97">
        <v>94</v>
      </c>
      <c r="C97">
        <v>36.19</v>
      </c>
    </row>
    <row r="98" spans="1:3">
      <c r="A98" s="88">
        <v>35359</v>
      </c>
      <c r="B98">
        <v>95</v>
      </c>
      <c r="C98">
        <v>36.43</v>
      </c>
    </row>
    <row r="99" spans="1:3">
      <c r="A99" s="88">
        <v>35366</v>
      </c>
      <c r="B99">
        <v>96</v>
      </c>
      <c r="C99">
        <v>39.25</v>
      </c>
    </row>
    <row r="100" spans="1:3">
      <c r="A100" s="88">
        <v>35373</v>
      </c>
      <c r="B100">
        <v>97</v>
      </c>
      <c r="C100">
        <v>41.57</v>
      </c>
    </row>
    <row r="101" spans="1:3">
      <c r="A101" s="88">
        <v>35380</v>
      </c>
      <c r="B101">
        <v>98</v>
      </c>
      <c r="C101">
        <v>42.79</v>
      </c>
    </row>
    <row r="102" spans="1:3">
      <c r="A102" s="88">
        <v>35387</v>
      </c>
      <c r="B102">
        <v>99</v>
      </c>
      <c r="C102">
        <v>40.83</v>
      </c>
    </row>
    <row r="103" spans="1:3">
      <c r="A103" s="88">
        <v>35394</v>
      </c>
      <c r="B103">
        <v>100</v>
      </c>
      <c r="C103">
        <v>41.08</v>
      </c>
    </row>
    <row r="104" spans="1:3">
      <c r="A104" s="88">
        <v>35401</v>
      </c>
      <c r="B104">
        <v>101</v>
      </c>
      <c r="C104">
        <v>39.61</v>
      </c>
    </row>
    <row r="105" spans="1:3">
      <c r="A105" s="88">
        <v>35408</v>
      </c>
      <c r="B105">
        <v>102</v>
      </c>
      <c r="C105">
        <v>38.630000000000003</v>
      </c>
    </row>
    <row r="106" spans="1:3">
      <c r="A106" s="88">
        <v>35415</v>
      </c>
      <c r="B106">
        <v>103</v>
      </c>
      <c r="C106">
        <v>39.119999999999997</v>
      </c>
    </row>
    <row r="107" spans="1:3">
      <c r="A107" s="88">
        <v>35422</v>
      </c>
      <c r="B107">
        <v>104</v>
      </c>
      <c r="C107">
        <v>39.61</v>
      </c>
    </row>
    <row r="108" spans="1:3">
      <c r="A108" s="88">
        <v>35429</v>
      </c>
      <c r="B108">
        <v>105</v>
      </c>
      <c r="C108">
        <v>39</v>
      </c>
    </row>
    <row r="109" spans="1:3">
      <c r="A109" s="88">
        <v>35436</v>
      </c>
      <c r="B109">
        <v>106</v>
      </c>
      <c r="C109">
        <v>43.52</v>
      </c>
    </row>
    <row r="110" spans="1:3">
      <c r="A110" s="88">
        <v>35443</v>
      </c>
      <c r="B110">
        <v>107</v>
      </c>
      <c r="C110">
        <v>47.93</v>
      </c>
    </row>
    <row r="111" spans="1:3">
      <c r="A111" s="88">
        <v>35450</v>
      </c>
      <c r="B111">
        <v>108</v>
      </c>
      <c r="C111">
        <v>54.65</v>
      </c>
    </row>
    <row r="112" spans="1:3">
      <c r="A112" s="88">
        <v>35457</v>
      </c>
      <c r="B112">
        <v>109</v>
      </c>
      <c r="C112">
        <v>54.77</v>
      </c>
    </row>
    <row r="113" spans="1:3">
      <c r="A113" s="88">
        <v>35464</v>
      </c>
      <c r="B113">
        <v>110</v>
      </c>
      <c r="C113">
        <v>56.73</v>
      </c>
    </row>
    <row r="114" spans="1:3">
      <c r="A114" s="88">
        <v>35471</v>
      </c>
      <c r="B114">
        <v>111</v>
      </c>
      <c r="C114">
        <v>58.56</v>
      </c>
    </row>
    <row r="115" spans="1:3">
      <c r="A115" s="88">
        <v>35479</v>
      </c>
      <c r="B115">
        <v>112</v>
      </c>
      <c r="C115">
        <v>53.31</v>
      </c>
    </row>
    <row r="116" spans="1:3">
      <c r="A116" s="88">
        <v>35485</v>
      </c>
      <c r="B116">
        <v>113</v>
      </c>
      <c r="C116">
        <v>54.47</v>
      </c>
    </row>
    <row r="117" spans="1:3">
      <c r="A117" s="88">
        <v>35492</v>
      </c>
      <c r="B117">
        <v>114</v>
      </c>
      <c r="C117">
        <v>57.46</v>
      </c>
    </row>
    <row r="118" spans="1:3">
      <c r="A118" s="88">
        <v>35499</v>
      </c>
      <c r="B118">
        <v>115</v>
      </c>
      <c r="C118">
        <v>57.83</v>
      </c>
    </row>
    <row r="119" spans="1:3">
      <c r="A119" s="88">
        <v>35506</v>
      </c>
      <c r="B119">
        <v>116</v>
      </c>
      <c r="C119">
        <v>55.75</v>
      </c>
    </row>
    <row r="120" spans="1:3">
      <c r="A120" s="88">
        <v>35513</v>
      </c>
      <c r="B120">
        <v>117</v>
      </c>
      <c r="C120">
        <v>58.56</v>
      </c>
    </row>
    <row r="121" spans="1:3">
      <c r="A121" s="88">
        <v>35520</v>
      </c>
      <c r="B121">
        <v>118</v>
      </c>
      <c r="C121">
        <v>57.58</v>
      </c>
    </row>
    <row r="122" spans="1:3">
      <c r="A122" s="88">
        <v>35527</v>
      </c>
      <c r="B122">
        <v>119</v>
      </c>
      <c r="C122">
        <v>52.69</v>
      </c>
    </row>
    <row r="123" spans="1:3">
      <c r="A123" s="88">
        <v>35534</v>
      </c>
      <c r="B123">
        <v>120</v>
      </c>
      <c r="C123">
        <v>47.19</v>
      </c>
    </row>
    <row r="124" spans="1:3">
      <c r="A124" s="88">
        <v>35541</v>
      </c>
      <c r="B124">
        <v>121</v>
      </c>
      <c r="C124">
        <v>44.14</v>
      </c>
    </row>
    <row r="125" spans="1:3">
      <c r="A125" s="88">
        <v>35548</v>
      </c>
      <c r="B125">
        <v>122</v>
      </c>
      <c r="C125">
        <v>48.41</v>
      </c>
    </row>
    <row r="126" spans="1:3">
      <c r="A126" s="88">
        <v>35555</v>
      </c>
      <c r="B126">
        <v>123</v>
      </c>
      <c r="C126">
        <v>50.25</v>
      </c>
    </row>
    <row r="127" spans="1:3">
      <c r="A127" s="88">
        <v>35562</v>
      </c>
      <c r="B127">
        <v>124</v>
      </c>
      <c r="C127">
        <v>48.54</v>
      </c>
    </row>
    <row r="128" spans="1:3">
      <c r="A128" s="88">
        <v>35569</v>
      </c>
      <c r="B128">
        <v>125</v>
      </c>
      <c r="C128">
        <v>55.02</v>
      </c>
    </row>
    <row r="129" spans="1:3">
      <c r="A129" s="88">
        <v>35577</v>
      </c>
      <c r="B129">
        <v>126</v>
      </c>
      <c r="C129">
        <v>47.19</v>
      </c>
    </row>
    <row r="130" spans="1:3">
      <c r="A130" s="88">
        <v>35583</v>
      </c>
      <c r="B130">
        <v>127</v>
      </c>
      <c r="C130">
        <v>45.66</v>
      </c>
    </row>
    <row r="131" spans="1:3">
      <c r="A131" s="88">
        <v>35590</v>
      </c>
      <c r="B131">
        <v>128</v>
      </c>
      <c r="C131">
        <v>47.13</v>
      </c>
    </row>
    <row r="132" spans="1:3">
      <c r="A132" s="88">
        <v>35597</v>
      </c>
      <c r="B132">
        <v>129</v>
      </c>
      <c r="C132">
        <v>48.66</v>
      </c>
    </row>
    <row r="133" spans="1:3">
      <c r="A133" s="88">
        <v>35604</v>
      </c>
      <c r="B133">
        <v>130</v>
      </c>
      <c r="C133">
        <v>49.64</v>
      </c>
    </row>
    <row r="134" spans="1:3">
      <c r="A134" s="88">
        <v>35611</v>
      </c>
      <c r="B134">
        <v>131</v>
      </c>
      <c r="C134">
        <v>52.94</v>
      </c>
    </row>
    <row r="135" spans="1:3">
      <c r="A135" s="88">
        <v>35618</v>
      </c>
      <c r="B135">
        <v>132</v>
      </c>
      <c r="C135">
        <v>53.55</v>
      </c>
    </row>
    <row r="136" spans="1:3">
      <c r="A136" s="88">
        <v>35625</v>
      </c>
      <c r="B136">
        <v>133</v>
      </c>
      <c r="C136">
        <v>51.9</v>
      </c>
    </row>
    <row r="137" spans="1:3">
      <c r="A137" s="88">
        <v>35632</v>
      </c>
      <c r="B137">
        <v>134</v>
      </c>
      <c r="C137">
        <v>45.24</v>
      </c>
    </row>
    <row r="138" spans="1:3">
      <c r="A138" s="88">
        <v>35639</v>
      </c>
      <c r="B138">
        <v>135</v>
      </c>
      <c r="C138">
        <v>46.34</v>
      </c>
    </row>
    <row r="139" spans="1:3">
      <c r="A139" s="88">
        <v>35646</v>
      </c>
      <c r="B139">
        <v>136</v>
      </c>
      <c r="C139">
        <v>45.11</v>
      </c>
    </row>
    <row r="140" spans="1:3">
      <c r="A140" s="88">
        <v>35653</v>
      </c>
      <c r="B140">
        <v>137</v>
      </c>
      <c r="C140">
        <v>44.07</v>
      </c>
    </row>
    <row r="141" spans="1:3">
      <c r="A141" s="88">
        <v>35660</v>
      </c>
      <c r="B141">
        <v>138</v>
      </c>
      <c r="C141">
        <v>45.24</v>
      </c>
    </row>
    <row r="142" spans="1:3">
      <c r="A142" s="88">
        <v>35667</v>
      </c>
      <c r="B142">
        <v>139</v>
      </c>
      <c r="C142">
        <v>45.24</v>
      </c>
    </row>
    <row r="143" spans="1:3">
      <c r="A143" s="88">
        <v>35675</v>
      </c>
      <c r="B143">
        <v>140</v>
      </c>
      <c r="C143">
        <v>48.84</v>
      </c>
    </row>
    <row r="144" spans="1:3">
      <c r="A144" s="88">
        <v>35681</v>
      </c>
      <c r="B144">
        <v>141</v>
      </c>
      <c r="C144">
        <v>51.04</v>
      </c>
    </row>
    <row r="145" spans="1:3">
      <c r="A145" s="88">
        <v>35688</v>
      </c>
      <c r="B145">
        <v>142</v>
      </c>
      <c r="C145">
        <v>53.18</v>
      </c>
    </row>
    <row r="146" spans="1:3">
      <c r="A146" s="88">
        <v>35695</v>
      </c>
      <c r="B146">
        <v>143</v>
      </c>
      <c r="C146">
        <v>54.83</v>
      </c>
    </row>
    <row r="147" spans="1:3">
      <c r="A147" s="88">
        <v>35702</v>
      </c>
      <c r="B147">
        <v>144</v>
      </c>
      <c r="C147">
        <v>63.09</v>
      </c>
    </row>
    <row r="148" spans="1:3">
      <c r="A148" s="88">
        <v>35709</v>
      </c>
      <c r="B148">
        <v>145</v>
      </c>
      <c r="C148">
        <v>66.02</v>
      </c>
    </row>
    <row r="149" spans="1:3">
      <c r="A149" s="88">
        <v>35716</v>
      </c>
      <c r="B149">
        <v>146</v>
      </c>
      <c r="C149">
        <v>60.15</v>
      </c>
    </row>
    <row r="150" spans="1:3">
      <c r="A150" s="88">
        <v>35723</v>
      </c>
      <c r="B150">
        <v>147</v>
      </c>
      <c r="C150">
        <v>57.95</v>
      </c>
    </row>
    <row r="151" spans="1:3">
      <c r="A151" s="88">
        <v>35730</v>
      </c>
      <c r="B151">
        <v>148</v>
      </c>
      <c r="C151">
        <v>55.14</v>
      </c>
    </row>
    <row r="152" spans="1:3">
      <c r="A152" s="88">
        <v>35737</v>
      </c>
      <c r="B152">
        <v>149</v>
      </c>
      <c r="C152">
        <v>61.13</v>
      </c>
    </row>
    <row r="153" spans="1:3">
      <c r="A153" s="88">
        <v>35744</v>
      </c>
      <c r="B153">
        <v>150</v>
      </c>
      <c r="C153">
        <v>68.28</v>
      </c>
    </row>
    <row r="154" spans="1:3">
      <c r="A154" s="88">
        <v>35751</v>
      </c>
      <c r="B154">
        <v>151</v>
      </c>
      <c r="C154">
        <v>68.099999999999994</v>
      </c>
    </row>
    <row r="155" spans="1:3">
      <c r="A155" s="88">
        <v>35758</v>
      </c>
      <c r="B155">
        <v>152</v>
      </c>
      <c r="C155">
        <v>66.260000000000005</v>
      </c>
    </row>
    <row r="156" spans="1:3">
      <c r="A156" s="88">
        <v>35765</v>
      </c>
      <c r="B156">
        <v>153</v>
      </c>
      <c r="C156">
        <v>65.53</v>
      </c>
    </row>
    <row r="157" spans="1:3">
      <c r="A157" s="88">
        <v>35772</v>
      </c>
      <c r="B157">
        <v>154</v>
      </c>
      <c r="C157">
        <v>49.58</v>
      </c>
    </row>
    <row r="158" spans="1:3">
      <c r="A158" s="88">
        <v>35779</v>
      </c>
      <c r="B158">
        <v>155</v>
      </c>
      <c r="C158">
        <v>46.95</v>
      </c>
    </row>
    <row r="159" spans="1:3">
      <c r="A159" s="88">
        <v>35786</v>
      </c>
      <c r="B159">
        <v>156</v>
      </c>
      <c r="C159">
        <v>45.3</v>
      </c>
    </row>
    <row r="160" spans="1:3">
      <c r="A160" s="88">
        <v>35793</v>
      </c>
      <c r="B160">
        <v>157</v>
      </c>
      <c r="C160">
        <v>50.68</v>
      </c>
    </row>
    <row r="161" spans="1:3">
      <c r="A161" s="88">
        <v>35800</v>
      </c>
      <c r="B161">
        <v>158</v>
      </c>
      <c r="C161">
        <v>45.42</v>
      </c>
    </row>
    <row r="162" spans="1:3">
      <c r="A162" s="88">
        <v>35807</v>
      </c>
      <c r="B162">
        <v>159</v>
      </c>
      <c r="C162">
        <v>44.99</v>
      </c>
    </row>
    <row r="163" spans="1:3">
      <c r="A163" s="88">
        <v>35815</v>
      </c>
      <c r="B163">
        <v>160</v>
      </c>
      <c r="C163">
        <v>53.24</v>
      </c>
    </row>
    <row r="164" spans="1:3">
      <c r="A164" s="88">
        <v>35821</v>
      </c>
      <c r="B164">
        <v>161</v>
      </c>
      <c r="C164">
        <v>50.74</v>
      </c>
    </row>
    <row r="165" spans="1:3">
      <c r="A165" s="88">
        <v>35828</v>
      </c>
      <c r="B165">
        <v>162</v>
      </c>
      <c r="C165">
        <v>46.7</v>
      </c>
    </row>
    <row r="166" spans="1:3">
      <c r="A166" s="88">
        <v>35835</v>
      </c>
      <c r="B166">
        <v>163</v>
      </c>
      <c r="C166">
        <v>45.54</v>
      </c>
    </row>
    <row r="167" spans="1:3">
      <c r="A167" s="88">
        <v>35843</v>
      </c>
      <c r="B167">
        <v>164</v>
      </c>
      <c r="C167">
        <v>45.6</v>
      </c>
    </row>
    <row r="168" spans="1:3">
      <c r="A168" s="88">
        <v>35849</v>
      </c>
      <c r="B168">
        <v>165</v>
      </c>
      <c r="C168">
        <v>49.88</v>
      </c>
    </row>
    <row r="169" spans="1:3">
      <c r="A169" s="88">
        <v>35856</v>
      </c>
      <c r="B169">
        <v>166</v>
      </c>
      <c r="C169">
        <v>47.41</v>
      </c>
    </row>
    <row r="170" spans="1:3">
      <c r="A170" s="88">
        <v>35863</v>
      </c>
      <c r="B170">
        <v>167</v>
      </c>
      <c r="C170">
        <v>47.01</v>
      </c>
    </row>
    <row r="171" spans="1:3">
      <c r="A171" s="88">
        <v>35870</v>
      </c>
      <c r="B171">
        <v>168</v>
      </c>
      <c r="C171">
        <v>46.7</v>
      </c>
    </row>
    <row r="172" spans="1:3">
      <c r="A172" s="88">
        <v>35877</v>
      </c>
      <c r="B172">
        <v>169</v>
      </c>
      <c r="C172">
        <v>48.84</v>
      </c>
    </row>
    <row r="173" spans="1:3">
      <c r="A173" s="88">
        <v>35884</v>
      </c>
      <c r="B173">
        <v>170</v>
      </c>
      <c r="C173">
        <v>54.53</v>
      </c>
    </row>
    <row r="174" spans="1:3">
      <c r="A174" s="88">
        <v>35891</v>
      </c>
      <c r="B174">
        <v>171</v>
      </c>
      <c r="C174">
        <v>52.75</v>
      </c>
    </row>
    <row r="175" spans="1:3">
      <c r="A175" s="88">
        <v>35898</v>
      </c>
      <c r="B175">
        <v>172</v>
      </c>
      <c r="C175">
        <v>54.47</v>
      </c>
    </row>
    <row r="176" spans="1:3">
      <c r="A176" s="88">
        <v>35905</v>
      </c>
      <c r="B176">
        <v>173</v>
      </c>
      <c r="C176">
        <v>55.44</v>
      </c>
    </row>
    <row r="177" spans="1:3">
      <c r="A177" s="88">
        <v>35912</v>
      </c>
      <c r="B177">
        <v>174</v>
      </c>
      <c r="C177">
        <v>54.41</v>
      </c>
    </row>
    <row r="178" spans="1:3">
      <c r="A178" s="88">
        <v>35919</v>
      </c>
      <c r="B178">
        <v>175</v>
      </c>
      <c r="C178">
        <v>54.89</v>
      </c>
    </row>
    <row r="179" spans="1:3">
      <c r="A179" s="88">
        <v>35926</v>
      </c>
      <c r="B179">
        <v>176</v>
      </c>
      <c r="C179">
        <v>55.99</v>
      </c>
    </row>
    <row r="180" spans="1:3">
      <c r="A180" s="88">
        <v>35933</v>
      </c>
      <c r="B180">
        <v>177</v>
      </c>
      <c r="C180">
        <v>54.19</v>
      </c>
    </row>
    <row r="181" spans="1:3">
      <c r="A181" s="88">
        <v>35941</v>
      </c>
      <c r="B181">
        <v>178</v>
      </c>
      <c r="C181">
        <v>50.98</v>
      </c>
    </row>
    <row r="182" spans="1:3">
      <c r="A182" s="88">
        <v>35947</v>
      </c>
      <c r="B182">
        <v>179</v>
      </c>
      <c r="C182">
        <v>50.74</v>
      </c>
    </row>
    <row r="183" spans="1:3">
      <c r="A183" s="88">
        <v>35954</v>
      </c>
      <c r="B183">
        <v>180</v>
      </c>
      <c r="C183">
        <v>47.93</v>
      </c>
    </row>
    <row r="184" spans="1:3">
      <c r="A184" s="88">
        <v>35961</v>
      </c>
      <c r="B184">
        <v>181</v>
      </c>
      <c r="C184">
        <v>48.17</v>
      </c>
    </row>
    <row r="185" spans="1:3">
      <c r="A185" s="88">
        <v>35968</v>
      </c>
      <c r="B185">
        <v>182</v>
      </c>
      <c r="C185">
        <v>52.94</v>
      </c>
    </row>
    <row r="186" spans="1:3">
      <c r="A186" s="88">
        <v>35975</v>
      </c>
      <c r="B186">
        <v>183</v>
      </c>
      <c r="C186">
        <v>53.18</v>
      </c>
    </row>
    <row r="187" spans="1:3">
      <c r="A187" s="88">
        <v>35982</v>
      </c>
      <c r="B187">
        <v>184</v>
      </c>
      <c r="C187">
        <v>55.26</v>
      </c>
    </row>
    <row r="188" spans="1:3">
      <c r="A188" s="88">
        <v>35989</v>
      </c>
      <c r="B188">
        <v>185</v>
      </c>
      <c r="C188">
        <v>55.99</v>
      </c>
    </row>
    <row r="189" spans="1:3">
      <c r="A189" s="88">
        <v>35996</v>
      </c>
      <c r="B189">
        <v>186</v>
      </c>
      <c r="C189">
        <v>61.62</v>
      </c>
    </row>
    <row r="190" spans="1:3">
      <c r="A190" s="88">
        <v>36003</v>
      </c>
      <c r="B190">
        <v>187</v>
      </c>
      <c r="C190">
        <v>60.98</v>
      </c>
    </row>
    <row r="191" spans="1:3">
      <c r="A191" s="88">
        <v>36010</v>
      </c>
      <c r="B191">
        <v>188</v>
      </c>
      <c r="C191">
        <v>57.46</v>
      </c>
    </row>
    <row r="192" spans="1:3">
      <c r="A192" s="88">
        <v>36017</v>
      </c>
      <c r="B192">
        <v>189</v>
      </c>
      <c r="C192">
        <v>53.31</v>
      </c>
    </row>
    <row r="193" spans="1:3">
      <c r="A193" s="88">
        <v>36024</v>
      </c>
      <c r="B193">
        <v>190</v>
      </c>
      <c r="C193">
        <v>52.57</v>
      </c>
    </row>
    <row r="194" spans="1:3">
      <c r="A194" s="88">
        <v>36031</v>
      </c>
      <c r="B194">
        <v>191</v>
      </c>
      <c r="C194">
        <v>45.05</v>
      </c>
    </row>
    <row r="195" spans="1:3">
      <c r="A195" s="88">
        <v>36038</v>
      </c>
      <c r="B195">
        <v>192</v>
      </c>
      <c r="C195">
        <v>41.63</v>
      </c>
    </row>
    <row r="196" spans="1:3">
      <c r="A196" s="88">
        <v>36046</v>
      </c>
      <c r="B196">
        <v>193</v>
      </c>
      <c r="C196">
        <v>44.5</v>
      </c>
    </row>
    <row r="197" spans="1:3">
      <c r="A197" s="88">
        <v>36052</v>
      </c>
      <c r="B197">
        <v>194</v>
      </c>
      <c r="C197">
        <v>47.01</v>
      </c>
    </row>
    <row r="198" spans="1:3">
      <c r="A198" s="88">
        <v>36059</v>
      </c>
      <c r="B198">
        <v>195</v>
      </c>
      <c r="C198">
        <v>51</v>
      </c>
    </row>
    <row r="199" spans="1:3">
      <c r="A199" s="88">
        <v>36066</v>
      </c>
      <c r="B199">
        <v>196</v>
      </c>
      <c r="C199">
        <v>47.62</v>
      </c>
    </row>
    <row r="200" spans="1:3">
      <c r="A200" s="88">
        <v>36073</v>
      </c>
      <c r="B200">
        <v>197</v>
      </c>
      <c r="C200">
        <v>40.94</v>
      </c>
    </row>
    <row r="201" spans="1:3">
      <c r="A201" s="88">
        <v>36080</v>
      </c>
      <c r="B201">
        <v>198</v>
      </c>
      <c r="C201">
        <v>47.5</v>
      </c>
    </row>
    <row r="202" spans="1:3">
      <c r="A202" s="88">
        <v>36087</v>
      </c>
      <c r="B202">
        <v>199</v>
      </c>
      <c r="C202">
        <v>54.25</v>
      </c>
    </row>
    <row r="203" spans="1:3">
      <c r="A203" s="88">
        <v>36094</v>
      </c>
      <c r="B203">
        <v>200</v>
      </c>
      <c r="C203">
        <v>55.62</v>
      </c>
    </row>
    <row r="204" spans="1:3">
      <c r="A204" s="88">
        <v>36101</v>
      </c>
      <c r="B204">
        <v>201</v>
      </c>
      <c r="C204">
        <v>56.94</v>
      </c>
    </row>
    <row r="205" spans="1:3">
      <c r="A205" s="88">
        <v>36108</v>
      </c>
      <c r="B205">
        <v>202</v>
      </c>
      <c r="C205">
        <v>54.88</v>
      </c>
    </row>
    <row r="206" spans="1:3">
      <c r="A206" s="88">
        <v>36115</v>
      </c>
      <c r="B206">
        <v>203</v>
      </c>
      <c r="C206">
        <v>55.38</v>
      </c>
    </row>
    <row r="207" spans="1:3">
      <c r="A207" s="88">
        <v>36122</v>
      </c>
      <c r="B207">
        <v>204</v>
      </c>
      <c r="C207">
        <v>54.94</v>
      </c>
    </row>
    <row r="208" spans="1:3">
      <c r="A208" s="88">
        <v>36129</v>
      </c>
      <c r="B208">
        <v>205</v>
      </c>
      <c r="C208">
        <v>53.94</v>
      </c>
    </row>
    <row r="209" spans="1:3">
      <c r="A209" s="88">
        <v>36136</v>
      </c>
      <c r="B209">
        <v>206</v>
      </c>
      <c r="C209">
        <v>52.19</v>
      </c>
    </row>
    <row r="210" spans="1:3">
      <c r="A210" s="88">
        <v>36143</v>
      </c>
      <c r="B210">
        <v>207</v>
      </c>
      <c r="C210">
        <v>50.19</v>
      </c>
    </row>
    <row r="211" spans="1:3">
      <c r="A211" s="88">
        <v>36150</v>
      </c>
      <c r="B211">
        <v>208</v>
      </c>
      <c r="C211">
        <v>51.06</v>
      </c>
    </row>
    <row r="212" spans="1:3">
      <c r="A212" s="88">
        <v>36157</v>
      </c>
      <c r="B212">
        <v>209</v>
      </c>
      <c r="C212">
        <v>51.81</v>
      </c>
    </row>
    <row r="213" spans="1:3">
      <c r="A213" s="88">
        <v>36164</v>
      </c>
      <c r="B213">
        <v>210</v>
      </c>
      <c r="C213">
        <v>60.25</v>
      </c>
    </row>
    <row r="214" spans="1:3">
      <c r="A214" s="88">
        <v>36171</v>
      </c>
      <c r="B214">
        <v>211</v>
      </c>
      <c r="C214">
        <v>63.88</v>
      </c>
    </row>
    <row r="215" spans="1:3">
      <c r="A215" s="88">
        <v>36179</v>
      </c>
      <c r="B215">
        <v>212</v>
      </c>
      <c r="C215">
        <v>59</v>
      </c>
    </row>
    <row r="216" spans="1:3">
      <c r="A216" s="88">
        <v>36185</v>
      </c>
      <c r="B216">
        <v>213</v>
      </c>
      <c r="C216">
        <v>65.81</v>
      </c>
    </row>
    <row r="217" spans="1:3">
      <c r="A217" s="88">
        <v>36192</v>
      </c>
      <c r="B217">
        <v>214</v>
      </c>
      <c r="C217">
        <v>67.06</v>
      </c>
    </row>
    <row r="218" spans="1:3">
      <c r="A218" s="88">
        <v>36199</v>
      </c>
      <c r="B218">
        <v>215</v>
      </c>
      <c r="C218">
        <v>66.94</v>
      </c>
    </row>
    <row r="219" spans="1:3">
      <c r="A219" s="88">
        <v>36207</v>
      </c>
      <c r="B219">
        <v>216</v>
      </c>
      <c r="C219">
        <v>64.88</v>
      </c>
    </row>
    <row r="220" spans="1:3">
      <c r="A220" s="88">
        <v>36213</v>
      </c>
      <c r="B220">
        <v>217</v>
      </c>
      <c r="C220">
        <v>73</v>
      </c>
    </row>
    <row r="221" spans="1:3">
      <c r="A221" s="88">
        <v>36220</v>
      </c>
      <c r="B221">
        <v>218</v>
      </c>
      <c r="C221">
        <v>76.56</v>
      </c>
    </row>
    <row r="222" spans="1:3">
      <c r="A222" s="88">
        <v>36227</v>
      </c>
      <c r="B222">
        <v>219</v>
      </c>
      <c r="C222">
        <v>77.25</v>
      </c>
    </row>
    <row r="223" spans="1:3">
      <c r="A223" s="88">
        <v>36234</v>
      </c>
      <c r="B223">
        <v>220</v>
      </c>
      <c r="C223">
        <v>84.56</v>
      </c>
    </row>
    <row r="224" spans="1:3">
      <c r="A224" s="88">
        <v>36241</v>
      </c>
      <c r="B224">
        <v>221</v>
      </c>
      <c r="C224">
        <v>111.56</v>
      </c>
    </row>
    <row r="225" spans="1:3">
      <c r="A225" s="88">
        <v>36248</v>
      </c>
      <c r="B225">
        <v>222</v>
      </c>
      <c r="C225">
        <v>137</v>
      </c>
    </row>
    <row r="226" spans="1:3">
      <c r="A226" s="88">
        <v>36255</v>
      </c>
      <c r="B226">
        <v>223</v>
      </c>
      <c r="C226">
        <v>145.56</v>
      </c>
    </row>
    <row r="227" spans="1:3">
      <c r="A227" s="88">
        <v>36262</v>
      </c>
      <c r="B227">
        <v>224</v>
      </c>
      <c r="C227">
        <v>142.5</v>
      </c>
    </row>
    <row r="228" spans="1:3">
      <c r="A228" s="88">
        <v>36269</v>
      </c>
      <c r="B228">
        <v>225</v>
      </c>
      <c r="C228">
        <v>190.88</v>
      </c>
    </row>
    <row r="229" spans="1:3">
      <c r="A229" s="88">
        <v>36276</v>
      </c>
      <c r="B229">
        <v>226</v>
      </c>
      <c r="C229">
        <v>200</v>
      </c>
    </row>
    <row r="230" spans="1:3">
      <c r="A230" s="88">
        <v>36283</v>
      </c>
      <c r="B230">
        <v>227</v>
      </c>
      <c r="C230">
        <v>216.25</v>
      </c>
    </row>
    <row r="231" spans="1:3">
      <c r="A231" s="88">
        <v>36290</v>
      </c>
      <c r="B231">
        <v>228</v>
      </c>
      <c r="C231">
        <v>112</v>
      </c>
    </row>
    <row r="232" spans="1:3">
      <c r="A232" s="88">
        <v>36297</v>
      </c>
      <c r="B232">
        <v>229</v>
      </c>
      <c r="C232">
        <v>100.31</v>
      </c>
    </row>
    <row r="233" spans="1:3">
      <c r="A233" s="88">
        <v>36304</v>
      </c>
      <c r="B233">
        <v>230</v>
      </c>
      <c r="C233">
        <v>97.25</v>
      </c>
    </row>
    <row r="234" spans="1:3">
      <c r="A234" s="88">
        <v>36312</v>
      </c>
      <c r="B234">
        <v>231</v>
      </c>
      <c r="C234">
        <v>109.94</v>
      </c>
    </row>
    <row r="235" spans="1:3">
      <c r="A235" s="88">
        <v>36318</v>
      </c>
      <c r="B235">
        <v>232</v>
      </c>
      <c r="C235">
        <v>108.75</v>
      </c>
    </row>
    <row r="236" spans="1:3">
      <c r="A236" s="88">
        <v>36325</v>
      </c>
      <c r="B236">
        <v>233</v>
      </c>
      <c r="C236">
        <v>129.75</v>
      </c>
    </row>
    <row r="237" spans="1:3">
      <c r="A237" s="88">
        <v>36332</v>
      </c>
      <c r="B237">
        <v>234</v>
      </c>
      <c r="C237">
        <v>126.75</v>
      </c>
    </row>
    <row r="238" spans="1:3">
      <c r="A238" s="88">
        <v>36339</v>
      </c>
      <c r="B238">
        <v>235</v>
      </c>
      <c r="C238">
        <v>144.25</v>
      </c>
    </row>
    <row r="239" spans="1:3">
      <c r="A239" s="88">
        <v>36347</v>
      </c>
      <c r="B239">
        <v>236</v>
      </c>
      <c r="C239">
        <v>148.75</v>
      </c>
    </row>
    <row r="240" spans="1:3">
      <c r="A240" s="88">
        <v>36353</v>
      </c>
      <c r="B240">
        <v>237</v>
      </c>
      <c r="C240">
        <v>158.25</v>
      </c>
    </row>
    <row r="241" spans="1:3">
      <c r="A241" s="88">
        <v>36360</v>
      </c>
      <c r="B241">
        <v>238</v>
      </c>
      <c r="C241">
        <v>154.69</v>
      </c>
    </row>
    <row r="242" spans="1:3">
      <c r="A242" s="88">
        <v>36367</v>
      </c>
      <c r="B242">
        <v>239</v>
      </c>
      <c r="C242">
        <v>156</v>
      </c>
    </row>
    <row r="243" spans="1:3">
      <c r="A243" s="88">
        <v>36374</v>
      </c>
      <c r="B243">
        <v>240</v>
      </c>
      <c r="C243">
        <v>147.75</v>
      </c>
    </row>
    <row r="244" spans="1:3">
      <c r="A244" s="88">
        <v>36381</v>
      </c>
      <c r="B244">
        <v>241</v>
      </c>
      <c r="C244">
        <v>160</v>
      </c>
    </row>
    <row r="245" spans="1:3">
      <c r="A245" s="88">
        <v>36388</v>
      </c>
      <c r="B245">
        <v>242</v>
      </c>
      <c r="C245">
        <v>174.94</v>
      </c>
    </row>
    <row r="246" spans="1:3">
      <c r="A246" s="88">
        <v>36395</v>
      </c>
      <c r="B246">
        <v>243</v>
      </c>
      <c r="C246">
        <v>183.75</v>
      </c>
    </row>
    <row r="247" spans="1:3">
      <c r="A247" s="88">
        <v>36402</v>
      </c>
      <c r="B247">
        <v>244</v>
      </c>
      <c r="C247">
        <v>163.38</v>
      </c>
    </row>
    <row r="248" spans="1:3">
      <c r="A248" s="88">
        <v>36410</v>
      </c>
      <c r="B248">
        <v>245</v>
      </c>
      <c r="C248">
        <v>165.69</v>
      </c>
    </row>
    <row r="249" spans="1:3">
      <c r="A249" s="88">
        <v>36416</v>
      </c>
      <c r="B249">
        <v>246</v>
      </c>
      <c r="C249">
        <v>189.94</v>
      </c>
    </row>
    <row r="250" spans="1:3">
      <c r="A250" s="88">
        <v>36423</v>
      </c>
      <c r="B250">
        <v>247</v>
      </c>
      <c r="C250">
        <v>189.5</v>
      </c>
    </row>
    <row r="251" spans="1:3">
      <c r="A251" s="88">
        <v>36430</v>
      </c>
      <c r="B251">
        <v>248</v>
      </c>
      <c r="C251">
        <v>186.81</v>
      </c>
    </row>
    <row r="252" spans="1:3">
      <c r="A252" s="88">
        <v>36437</v>
      </c>
      <c r="B252">
        <v>249</v>
      </c>
      <c r="C252">
        <v>213.94</v>
      </c>
    </row>
    <row r="253" spans="1:3">
      <c r="A253" s="88">
        <v>36444</v>
      </c>
      <c r="B253">
        <v>250</v>
      </c>
      <c r="C253">
        <v>198.5</v>
      </c>
    </row>
    <row r="254" spans="1:3">
      <c r="A254" s="88">
        <v>36451</v>
      </c>
      <c r="B254">
        <v>251</v>
      </c>
      <c r="C254">
        <v>215.75</v>
      </c>
    </row>
    <row r="255" spans="1:3">
      <c r="A255" s="88">
        <v>36458</v>
      </c>
      <c r="B255">
        <v>252</v>
      </c>
      <c r="C255">
        <v>222.75</v>
      </c>
    </row>
    <row r="256" spans="1:3">
      <c r="A256" s="88">
        <v>36465</v>
      </c>
      <c r="B256">
        <v>253</v>
      </c>
      <c r="C256">
        <v>294.38</v>
      </c>
    </row>
    <row r="257" spans="1:3">
      <c r="A257" s="88">
        <v>36472</v>
      </c>
      <c r="B257">
        <v>254</v>
      </c>
      <c r="C257">
        <v>378</v>
      </c>
    </row>
    <row r="258" spans="1:3">
      <c r="A258" s="88">
        <v>36479</v>
      </c>
      <c r="B258">
        <v>255</v>
      </c>
      <c r="C258">
        <v>367.06</v>
      </c>
    </row>
    <row r="259" spans="1:3">
      <c r="A259" s="88">
        <v>36486</v>
      </c>
      <c r="B259">
        <v>256</v>
      </c>
      <c r="C259">
        <v>384.75</v>
      </c>
    </row>
    <row r="260" spans="1:3">
      <c r="A260" s="88">
        <v>36493</v>
      </c>
      <c r="B260">
        <v>257</v>
      </c>
      <c r="C260">
        <v>384.44</v>
      </c>
    </row>
    <row r="261" spans="1:3">
      <c r="A261" s="88">
        <v>36500</v>
      </c>
      <c r="B261">
        <v>258</v>
      </c>
      <c r="C261">
        <v>391.5</v>
      </c>
    </row>
    <row r="262" spans="1:3">
      <c r="A262" s="88">
        <v>36507</v>
      </c>
      <c r="B262">
        <v>259</v>
      </c>
      <c r="C262">
        <v>455</v>
      </c>
    </row>
    <row r="263" spans="1:3">
      <c r="A263" s="88">
        <v>36514</v>
      </c>
      <c r="B263">
        <v>260</v>
      </c>
      <c r="C263">
        <v>466.5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7092B-D51F-4CAC-A295-9BE2CFBB6764}">
  <dimension ref="A1:D25"/>
  <sheetViews>
    <sheetView workbookViewId="0">
      <selection sqref="A1:D25"/>
    </sheetView>
  </sheetViews>
  <sheetFormatPr defaultRowHeight="15"/>
  <sheetData>
    <row r="1" spans="1:4">
      <c r="A1" t="s">
        <v>532</v>
      </c>
    </row>
    <row r="2" spans="1:4">
      <c r="A2" t="s">
        <v>533</v>
      </c>
    </row>
    <row r="3" spans="1:4">
      <c r="A3" t="s">
        <v>534</v>
      </c>
    </row>
    <row r="5" spans="1:4">
      <c r="A5" t="s">
        <v>456</v>
      </c>
      <c r="B5" t="s">
        <v>513</v>
      </c>
      <c r="C5" t="s">
        <v>535</v>
      </c>
      <c r="D5" t="s">
        <v>519</v>
      </c>
    </row>
    <row r="6" spans="1:4">
      <c r="A6">
        <v>1955</v>
      </c>
      <c r="B6">
        <v>114043</v>
      </c>
      <c r="C6">
        <v>8310</v>
      </c>
      <c r="D6">
        <v>182113</v>
      </c>
    </row>
    <row r="7" spans="1:4">
      <c r="A7">
        <v>1956</v>
      </c>
      <c r="B7">
        <v>120410</v>
      </c>
      <c r="C7">
        <v>8529</v>
      </c>
      <c r="D7">
        <v>193749</v>
      </c>
    </row>
    <row r="8" spans="1:4">
      <c r="A8">
        <v>1957</v>
      </c>
      <c r="B8">
        <v>129187</v>
      </c>
      <c r="C8">
        <v>8738</v>
      </c>
      <c r="D8">
        <v>205192</v>
      </c>
    </row>
    <row r="9" spans="1:4">
      <c r="A9">
        <v>1958</v>
      </c>
      <c r="B9">
        <v>134705</v>
      </c>
      <c r="C9">
        <v>8952</v>
      </c>
      <c r="D9">
        <v>215130</v>
      </c>
    </row>
    <row r="10" spans="1:4">
      <c r="A10">
        <v>1959</v>
      </c>
      <c r="B10">
        <v>139960</v>
      </c>
      <c r="C10">
        <v>9171</v>
      </c>
      <c r="D10">
        <v>225021</v>
      </c>
    </row>
    <row r="11" spans="1:4">
      <c r="A11">
        <v>1960</v>
      </c>
      <c r="B11">
        <v>150511</v>
      </c>
      <c r="C11">
        <v>9569</v>
      </c>
      <c r="D11">
        <v>237026</v>
      </c>
    </row>
    <row r="12" spans="1:4">
      <c r="A12">
        <v>1961</v>
      </c>
      <c r="B12">
        <v>157897</v>
      </c>
      <c r="C12">
        <v>9527</v>
      </c>
      <c r="D12">
        <v>248897</v>
      </c>
    </row>
    <row r="13" spans="1:4">
      <c r="A13">
        <v>1962</v>
      </c>
      <c r="B13">
        <v>165286</v>
      </c>
      <c r="C13">
        <v>9662</v>
      </c>
      <c r="D13">
        <v>260661</v>
      </c>
    </row>
    <row r="14" spans="1:4">
      <c r="A14">
        <v>1963</v>
      </c>
      <c r="B14">
        <v>178491</v>
      </c>
      <c r="C14">
        <v>10334</v>
      </c>
      <c r="D14">
        <v>275466</v>
      </c>
    </row>
    <row r="15" spans="1:4">
      <c r="A15">
        <v>1964</v>
      </c>
      <c r="B15">
        <v>199457</v>
      </c>
      <c r="C15">
        <v>10981</v>
      </c>
      <c r="D15">
        <v>295378</v>
      </c>
    </row>
    <row r="16" spans="1:4">
      <c r="A16">
        <v>1965</v>
      </c>
      <c r="B16">
        <v>212323</v>
      </c>
      <c r="C16">
        <v>11746</v>
      </c>
      <c r="D16">
        <v>315715</v>
      </c>
    </row>
    <row r="17" spans="1:4">
      <c r="A17">
        <v>1966</v>
      </c>
      <c r="B17">
        <v>226977</v>
      </c>
      <c r="C17">
        <v>11521</v>
      </c>
      <c r="D17">
        <v>337642</v>
      </c>
    </row>
    <row r="18" spans="1:4">
      <c r="A18">
        <v>1967</v>
      </c>
      <c r="B18">
        <v>241194</v>
      </c>
      <c r="C18">
        <v>11540</v>
      </c>
      <c r="D18">
        <v>363599</v>
      </c>
    </row>
    <row r="19" spans="1:4">
      <c r="A19">
        <v>1968</v>
      </c>
      <c r="B19">
        <v>260881</v>
      </c>
      <c r="C19">
        <v>12066</v>
      </c>
      <c r="D19">
        <v>391847</v>
      </c>
    </row>
    <row r="20" spans="1:4">
      <c r="A20">
        <v>1969</v>
      </c>
      <c r="B20">
        <v>277498</v>
      </c>
      <c r="C20">
        <v>12297</v>
      </c>
      <c r="D20">
        <v>422382</v>
      </c>
    </row>
    <row r="21" spans="1:4">
      <c r="A21">
        <v>1970</v>
      </c>
      <c r="B21">
        <v>296530</v>
      </c>
      <c r="C21">
        <v>12955</v>
      </c>
      <c r="D21">
        <v>455049</v>
      </c>
    </row>
    <row r="22" spans="1:4">
      <c r="A22">
        <v>1971</v>
      </c>
      <c r="B22">
        <v>306712</v>
      </c>
      <c r="C22">
        <v>13338</v>
      </c>
      <c r="D22">
        <v>484677</v>
      </c>
    </row>
    <row r="23" spans="1:4">
      <c r="A23">
        <v>1972</v>
      </c>
      <c r="B23">
        <v>329030</v>
      </c>
      <c r="C23">
        <v>13738</v>
      </c>
      <c r="D23">
        <v>520553</v>
      </c>
    </row>
    <row r="24" spans="1:4">
      <c r="A24">
        <v>1973</v>
      </c>
      <c r="B24">
        <v>354057</v>
      </c>
      <c r="C24">
        <v>15924</v>
      </c>
      <c r="D24">
        <v>561531</v>
      </c>
    </row>
    <row r="25" spans="1:4">
      <c r="A25">
        <v>1974</v>
      </c>
      <c r="B25">
        <v>374977</v>
      </c>
      <c r="C25">
        <v>14154</v>
      </c>
      <c r="D25">
        <v>609825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3F146-8795-452E-8D70-B53553E357B0}">
  <dimension ref="A1:C31"/>
  <sheetViews>
    <sheetView workbookViewId="0">
      <selection sqref="A1:C31"/>
    </sheetView>
  </sheetViews>
  <sheetFormatPr defaultRowHeight="15"/>
  <sheetData>
    <row r="1" spans="1:3">
      <c r="A1" t="s">
        <v>536</v>
      </c>
    </row>
    <row r="2" spans="1:3">
      <c r="A2" t="s">
        <v>537</v>
      </c>
    </row>
    <row r="3" spans="1:3">
      <c r="A3" t="s">
        <v>538</v>
      </c>
    </row>
    <row r="5" spans="1:3">
      <c r="A5" t="s">
        <v>456</v>
      </c>
      <c r="B5" t="s">
        <v>539</v>
      </c>
      <c r="C5" t="s">
        <v>540</v>
      </c>
    </row>
    <row r="6" spans="1:3">
      <c r="A6">
        <v>1970</v>
      </c>
      <c r="B6">
        <v>61</v>
      </c>
      <c r="C6">
        <v>727.1</v>
      </c>
    </row>
    <row r="7" spans="1:3">
      <c r="A7">
        <v>1971</v>
      </c>
      <c r="B7">
        <v>68.599999999999994</v>
      </c>
      <c r="C7">
        <v>790.2</v>
      </c>
    </row>
    <row r="8" spans="1:3">
      <c r="A8">
        <v>1972</v>
      </c>
      <c r="B8">
        <v>63.6</v>
      </c>
      <c r="C8">
        <v>855.3</v>
      </c>
    </row>
    <row r="9" spans="1:3">
      <c r="A9">
        <v>1973</v>
      </c>
      <c r="B9">
        <v>89.6</v>
      </c>
      <c r="C9">
        <v>965</v>
      </c>
    </row>
    <row r="10" spans="1:3">
      <c r="A10">
        <v>1974</v>
      </c>
      <c r="B10">
        <v>97.6</v>
      </c>
      <c r="C10">
        <v>1054.2</v>
      </c>
    </row>
    <row r="11" spans="1:3">
      <c r="A11">
        <v>1975</v>
      </c>
      <c r="B11">
        <v>104.4</v>
      </c>
      <c r="C11">
        <v>1159.2</v>
      </c>
    </row>
    <row r="12" spans="1:3">
      <c r="A12">
        <v>1976</v>
      </c>
      <c r="B12">
        <v>96.4</v>
      </c>
      <c r="C12">
        <v>1273</v>
      </c>
    </row>
    <row r="13" spans="1:3">
      <c r="A13">
        <v>1977</v>
      </c>
      <c r="B13">
        <v>92.5</v>
      </c>
      <c r="C13">
        <v>1401.4</v>
      </c>
    </row>
    <row r="14" spans="1:3">
      <c r="A14">
        <v>1978</v>
      </c>
      <c r="B14">
        <v>112.6</v>
      </c>
      <c r="C14">
        <v>1580.1</v>
      </c>
    </row>
    <row r="15" spans="1:3">
      <c r="A15">
        <v>1979</v>
      </c>
      <c r="B15">
        <v>130.1</v>
      </c>
      <c r="C15">
        <v>1769.5</v>
      </c>
    </row>
    <row r="16" spans="1:3">
      <c r="A16">
        <v>1980</v>
      </c>
      <c r="B16">
        <v>161.80000000000001</v>
      </c>
      <c r="C16">
        <v>1973.3</v>
      </c>
    </row>
    <row r="17" spans="1:3">
      <c r="A17">
        <v>1981</v>
      </c>
      <c r="B17">
        <v>199.1</v>
      </c>
      <c r="C17">
        <v>2200.1999999999998</v>
      </c>
    </row>
    <row r="18" spans="1:3">
      <c r="A18">
        <v>1982</v>
      </c>
      <c r="B18">
        <v>205.5</v>
      </c>
      <c r="C18">
        <v>2347.3000000000002</v>
      </c>
    </row>
    <row r="19" spans="1:3">
      <c r="A19">
        <v>1983</v>
      </c>
      <c r="B19">
        <v>167</v>
      </c>
      <c r="C19">
        <v>2522.4</v>
      </c>
    </row>
    <row r="20" spans="1:3">
      <c r="A20">
        <v>1984</v>
      </c>
      <c r="B20">
        <v>235.7</v>
      </c>
      <c r="C20">
        <v>2810</v>
      </c>
    </row>
    <row r="21" spans="1:3">
      <c r="A21">
        <v>1985</v>
      </c>
      <c r="B21">
        <v>206.2</v>
      </c>
      <c r="C21">
        <v>3002</v>
      </c>
    </row>
    <row r="22" spans="1:3">
      <c r="A22">
        <v>1986</v>
      </c>
      <c r="B22">
        <v>196.5</v>
      </c>
      <c r="C22">
        <v>3187.6</v>
      </c>
    </row>
    <row r="23" spans="1:3">
      <c r="A23">
        <v>1987</v>
      </c>
      <c r="B23">
        <v>168.4</v>
      </c>
      <c r="C23">
        <v>3363.1</v>
      </c>
    </row>
    <row r="24" spans="1:3">
      <c r="A24">
        <v>1988</v>
      </c>
      <c r="B24">
        <v>189.1</v>
      </c>
      <c r="C24">
        <v>3640.8</v>
      </c>
    </row>
    <row r="25" spans="1:3">
      <c r="A25">
        <v>1989</v>
      </c>
      <c r="B25">
        <v>187.8</v>
      </c>
      <c r="C25">
        <v>3894.5</v>
      </c>
    </row>
    <row r="26" spans="1:3">
      <c r="A26">
        <v>1990</v>
      </c>
      <c r="B26">
        <v>208.7</v>
      </c>
      <c r="C26">
        <v>4166.8</v>
      </c>
    </row>
    <row r="27" spans="1:3">
      <c r="A27">
        <v>1991</v>
      </c>
      <c r="B27">
        <v>246.4</v>
      </c>
      <c r="C27">
        <v>4343.7</v>
      </c>
    </row>
    <row r="28" spans="1:3">
      <c r="A28">
        <v>1992</v>
      </c>
      <c r="B28">
        <v>272.60000000000002</v>
      </c>
      <c r="C28">
        <v>4613.7</v>
      </c>
    </row>
    <row r="29" spans="1:3">
      <c r="A29">
        <v>1993</v>
      </c>
      <c r="B29">
        <v>214.4</v>
      </c>
      <c r="C29">
        <v>4790.2</v>
      </c>
    </row>
    <row r="30" spans="1:3">
      <c r="A30">
        <v>1994</v>
      </c>
      <c r="B30">
        <v>189.4</v>
      </c>
      <c r="C30">
        <v>5021.7</v>
      </c>
    </row>
    <row r="31" spans="1:3">
      <c r="A31">
        <v>1995</v>
      </c>
      <c r="B31">
        <v>249.3</v>
      </c>
      <c r="C31">
        <v>5320.8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3AB6D-5663-44D5-B4BE-D3FC9867304B}">
  <dimension ref="A1:G18"/>
  <sheetViews>
    <sheetView workbookViewId="0">
      <selection sqref="A1:G18"/>
    </sheetView>
  </sheetViews>
  <sheetFormatPr defaultRowHeight="15"/>
  <sheetData>
    <row r="1" spans="1:7">
      <c r="A1" t="s">
        <v>541</v>
      </c>
    </row>
    <row r="2" spans="1:7">
      <c r="A2" t="s">
        <v>63</v>
      </c>
      <c r="B2" t="s">
        <v>542</v>
      </c>
      <c r="C2" t="s">
        <v>543</v>
      </c>
      <c r="D2" t="s">
        <v>544</v>
      </c>
      <c r="E2" t="s">
        <v>545</v>
      </c>
      <c r="F2" t="s">
        <v>546</v>
      </c>
      <c r="G2" t="s">
        <v>547</v>
      </c>
    </row>
    <row r="3" spans="1:7">
      <c r="A3">
        <v>1968</v>
      </c>
      <c r="B3">
        <v>1051.8</v>
      </c>
      <c r="C3">
        <v>1503.6</v>
      </c>
      <c r="D3">
        <v>3.6</v>
      </c>
      <c r="E3">
        <v>5.8</v>
      </c>
      <c r="F3">
        <v>5.9</v>
      </c>
      <c r="G3">
        <v>5873</v>
      </c>
    </row>
    <row r="4" spans="1:7">
      <c r="A4">
        <v>1969</v>
      </c>
      <c r="B4">
        <v>1078.8</v>
      </c>
      <c r="C4">
        <v>1486.7</v>
      </c>
      <c r="D4">
        <v>3.5</v>
      </c>
      <c r="E4">
        <v>6.7</v>
      </c>
      <c r="F4">
        <v>4.5</v>
      </c>
      <c r="G4">
        <v>7852</v>
      </c>
    </row>
    <row r="5" spans="1:7">
      <c r="A5">
        <v>1970</v>
      </c>
      <c r="B5">
        <v>1075.3</v>
      </c>
      <c r="C5">
        <v>1434.8</v>
      </c>
      <c r="D5">
        <v>5</v>
      </c>
      <c r="E5">
        <v>8.4</v>
      </c>
      <c r="F5">
        <v>4.2</v>
      </c>
      <c r="G5">
        <v>8189</v>
      </c>
    </row>
    <row r="6" spans="1:7">
      <c r="A6">
        <v>1971</v>
      </c>
      <c r="B6">
        <v>1107.5</v>
      </c>
      <c r="C6">
        <v>2035.6</v>
      </c>
      <c r="D6">
        <v>6</v>
      </c>
      <c r="E6">
        <v>6.2</v>
      </c>
      <c r="F6">
        <v>4.2</v>
      </c>
      <c r="G6">
        <v>7497</v>
      </c>
    </row>
    <row r="7" spans="1:7">
      <c r="A7">
        <v>1972</v>
      </c>
      <c r="B7">
        <v>1171.0999999999999</v>
      </c>
      <c r="C7">
        <v>2360.8000000000002</v>
      </c>
      <c r="D7">
        <v>5.6</v>
      </c>
      <c r="E7">
        <v>5.4</v>
      </c>
      <c r="F7">
        <v>4.9000000000000004</v>
      </c>
      <c r="G7">
        <v>8534</v>
      </c>
    </row>
    <row r="8" spans="1:7">
      <c r="A8">
        <v>1973</v>
      </c>
      <c r="B8">
        <v>1235</v>
      </c>
      <c r="C8">
        <v>2043.9</v>
      </c>
      <c r="D8">
        <v>4.9000000000000004</v>
      </c>
      <c r="E8">
        <v>5.9</v>
      </c>
      <c r="F8">
        <v>5</v>
      </c>
      <c r="G8">
        <v>8688</v>
      </c>
    </row>
    <row r="9" spans="1:7">
      <c r="A9">
        <v>1974</v>
      </c>
      <c r="B9">
        <v>1217.8</v>
      </c>
      <c r="C9">
        <v>1331.9</v>
      </c>
      <c r="D9">
        <v>5.6</v>
      </c>
      <c r="E9">
        <v>9.4</v>
      </c>
      <c r="F9">
        <v>4.0999999999999996</v>
      </c>
      <c r="G9">
        <v>7270</v>
      </c>
    </row>
    <row r="10" spans="1:7">
      <c r="A10">
        <v>1975</v>
      </c>
      <c r="B10">
        <v>1202.3</v>
      </c>
      <c r="C10">
        <v>1160</v>
      </c>
      <c r="D10">
        <v>8.5</v>
      </c>
      <c r="E10">
        <v>9.4</v>
      </c>
      <c r="F10">
        <v>3.4</v>
      </c>
      <c r="G10">
        <v>5020</v>
      </c>
    </row>
    <row r="11" spans="1:7">
      <c r="A11">
        <v>1976</v>
      </c>
      <c r="B11">
        <v>1271</v>
      </c>
      <c r="C11">
        <v>1535</v>
      </c>
      <c r="D11">
        <v>7.7</v>
      </c>
      <c r="E11">
        <v>7.2</v>
      </c>
      <c r="F11">
        <v>4.2</v>
      </c>
      <c r="G11">
        <v>6035</v>
      </c>
    </row>
    <row r="12" spans="1:7">
      <c r="A12">
        <v>1977</v>
      </c>
      <c r="B12">
        <v>1332.7</v>
      </c>
      <c r="C12">
        <v>1961.8</v>
      </c>
      <c r="D12">
        <v>7</v>
      </c>
      <c r="E12">
        <v>6.6</v>
      </c>
      <c r="F12">
        <v>4.5</v>
      </c>
      <c r="G12">
        <v>7425</v>
      </c>
    </row>
    <row r="13" spans="1:7">
      <c r="A13">
        <v>1978</v>
      </c>
      <c r="B13">
        <v>1399.2</v>
      </c>
      <c r="C13">
        <v>2009.3</v>
      </c>
      <c r="D13">
        <v>6</v>
      </c>
      <c r="E13">
        <v>7.6</v>
      </c>
      <c r="F13">
        <v>3.9</v>
      </c>
      <c r="G13">
        <v>9400</v>
      </c>
    </row>
    <row r="14" spans="1:7">
      <c r="A14">
        <v>1979</v>
      </c>
      <c r="B14">
        <v>1431.6</v>
      </c>
      <c r="C14">
        <v>1721.9</v>
      </c>
      <c r="D14">
        <v>6</v>
      </c>
      <c r="E14">
        <v>10.6</v>
      </c>
      <c r="F14">
        <v>4.4000000000000004</v>
      </c>
      <c r="G14">
        <v>9350</v>
      </c>
    </row>
    <row r="15" spans="1:7">
      <c r="A15">
        <v>1980</v>
      </c>
      <c r="B15">
        <v>1480.7</v>
      </c>
      <c r="C15">
        <v>1298</v>
      </c>
      <c r="D15">
        <v>7.2</v>
      </c>
      <c r="E15">
        <v>14.9</v>
      </c>
      <c r="F15">
        <v>3.9</v>
      </c>
      <c r="G15">
        <v>6540</v>
      </c>
    </row>
    <row r="16" spans="1:7">
      <c r="A16">
        <v>1981</v>
      </c>
      <c r="B16">
        <v>1510.3</v>
      </c>
      <c r="C16">
        <v>1100</v>
      </c>
      <c r="D16">
        <v>7.6</v>
      </c>
      <c r="E16">
        <v>16.600000000000001</v>
      </c>
      <c r="F16">
        <v>3.1</v>
      </c>
      <c r="G16">
        <v>7675</v>
      </c>
    </row>
    <row r="17" spans="1:7">
      <c r="A17">
        <v>1982</v>
      </c>
      <c r="B17">
        <v>1492.2</v>
      </c>
      <c r="C17">
        <v>1039</v>
      </c>
      <c r="D17">
        <v>9.1999999999999993</v>
      </c>
      <c r="E17">
        <v>17.5</v>
      </c>
      <c r="F17">
        <v>0.6</v>
      </c>
      <c r="G17">
        <v>7419</v>
      </c>
    </row>
    <row r="18" spans="1:7">
      <c r="A18">
        <v>1983</v>
      </c>
      <c r="B18">
        <v>1535.4</v>
      </c>
      <c r="C18">
        <v>1200</v>
      </c>
      <c r="D18">
        <v>8.8000000000000007</v>
      </c>
      <c r="E18">
        <v>16</v>
      </c>
      <c r="F18">
        <v>1.5</v>
      </c>
      <c r="G18">
        <v>7923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CC6F3-C30B-4CF5-A1F1-41440BD8FFEC}">
  <dimension ref="A1:C42"/>
  <sheetViews>
    <sheetView workbookViewId="0">
      <selection activeCell="A2" sqref="A2"/>
    </sheetView>
  </sheetViews>
  <sheetFormatPr defaultRowHeight="15"/>
  <sheetData>
    <row r="1" spans="1:3">
      <c r="A1" t="s">
        <v>1446</v>
      </c>
    </row>
    <row r="2" spans="1:3">
      <c r="A2" t="s">
        <v>63</v>
      </c>
      <c r="B2" t="s">
        <v>548</v>
      </c>
      <c r="C2" t="s">
        <v>549</v>
      </c>
    </row>
    <row r="3" spans="1:3">
      <c r="A3">
        <v>1970</v>
      </c>
      <c r="B3">
        <v>69.5</v>
      </c>
      <c r="C3">
        <v>735.7</v>
      </c>
    </row>
    <row r="4" spans="1:3">
      <c r="A4">
        <v>1971</v>
      </c>
      <c r="B4">
        <v>80.599999999999994</v>
      </c>
      <c r="C4">
        <v>801.8</v>
      </c>
    </row>
    <row r="5" spans="1:3">
      <c r="A5">
        <v>1972</v>
      </c>
      <c r="B5">
        <v>77.2</v>
      </c>
      <c r="C5">
        <v>869.1</v>
      </c>
    </row>
    <row r="6" spans="1:3">
      <c r="A6">
        <v>1973</v>
      </c>
      <c r="B6">
        <v>102.7</v>
      </c>
      <c r="C6">
        <v>978.3</v>
      </c>
    </row>
    <row r="7" spans="1:3">
      <c r="A7">
        <v>1974</v>
      </c>
      <c r="B7">
        <v>113.6</v>
      </c>
      <c r="C7" s="85">
        <v>1071.5999999999999</v>
      </c>
    </row>
    <row r="8" spans="1:3">
      <c r="A8">
        <v>1975</v>
      </c>
      <c r="B8">
        <v>125.6</v>
      </c>
      <c r="C8" s="85">
        <v>1187.4000000000001</v>
      </c>
    </row>
    <row r="9" spans="1:3">
      <c r="A9">
        <v>1976</v>
      </c>
      <c r="B9">
        <v>122.3</v>
      </c>
      <c r="C9" s="85">
        <v>1302.5</v>
      </c>
    </row>
    <row r="10" spans="1:3">
      <c r="A10">
        <v>1977</v>
      </c>
      <c r="B10">
        <v>125.3</v>
      </c>
      <c r="C10" s="85">
        <v>1435.7</v>
      </c>
    </row>
    <row r="11" spans="1:3">
      <c r="A11">
        <v>1978</v>
      </c>
      <c r="B11">
        <v>142.5</v>
      </c>
      <c r="C11" s="85">
        <v>1608.3</v>
      </c>
    </row>
    <row r="12" spans="1:3">
      <c r="A12">
        <v>1979</v>
      </c>
      <c r="B12">
        <v>159.1</v>
      </c>
      <c r="C12" s="85">
        <v>1793.5</v>
      </c>
    </row>
    <row r="13" spans="1:3">
      <c r="A13">
        <v>1980</v>
      </c>
      <c r="B13">
        <v>201.4</v>
      </c>
      <c r="C13" s="85">
        <v>2009</v>
      </c>
    </row>
    <row r="14" spans="1:3">
      <c r="A14">
        <v>1981</v>
      </c>
      <c r="B14">
        <v>244.3</v>
      </c>
      <c r="C14" s="85">
        <v>2246.1</v>
      </c>
    </row>
    <row r="15" spans="1:3">
      <c r="A15">
        <v>1982</v>
      </c>
      <c r="B15">
        <v>270.8</v>
      </c>
      <c r="C15" s="85">
        <v>2421.1999999999998</v>
      </c>
    </row>
    <row r="16" spans="1:3">
      <c r="A16">
        <v>1983</v>
      </c>
      <c r="B16">
        <v>233.6</v>
      </c>
      <c r="C16" s="85">
        <v>2608.4</v>
      </c>
    </row>
    <row r="17" spans="1:3">
      <c r="A17">
        <v>1984</v>
      </c>
      <c r="B17">
        <v>314.8</v>
      </c>
      <c r="C17" s="85">
        <v>2912</v>
      </c>
    </row>
    <row r="18" spans="1:3">
      <c r="A18">
        <v>1985</v>
      </c>
      <c r="B18">
        <v>280</v>
      </c>
      <c r="C18" s="85">
        <v>3109.3</v>
      </c>
    </row>
    <row r="19" spans="1:3">
      <c r="A19">
        <v>1986</v>
      </c>
      <c r="B19">
        <v>268.39999999999998</v>
      </c>
      <c r="C19" s="85">
        <v>3285.1</v>
      </c>
    </row>
    <row r="20" spans="1:3">
      <c r="A20">
        <v>1987</v>
      </c>
      <c r="B20">
        <v>241.4</v>
      </c>
      <c r="C20" s="85">
        <v>3458.3</v>
      </c>
    </row>
    <row r="21" spans="1:3">
      <c r="A21">
        <v>1988</v>
      </c>
      <c r="B21">
        <v>272.89999999999998</v>
      </c>
      <c r="C21" s="85">
        <v>3748.7</v>
      </c>
    </row>
    <row r="22" spans="1:3">
      <c r="A22">
        <v>1989</v>
      </c>
      <c r="B22">
        <v>287.10000000000002</v>
      </c>
      <c r="C22" s="85">
        <v>4021.7</v>
      </c>
    </row>
    <row r="23" spans="1:3">
      <c r="A23">
        <v>1990</v>
      </c>
      <c r="B23">
        <v>299.39999999999998</v>
      </c>
      <c r="C23" s="85">
        <v>4285.8</v>
      </c>
    </row>
    <row r="24" spans="1:3">
      <c r="A24">
        <v>1991</v>
      </c>
      <c r="B24">
        <v>324.2</v>
      </c>
      <c r="C24" s="85">
        <v>4464.3</v>
      </c>
    </row>
    <row r="25" spans="1:3">
      <c r="A25">
        <v>1992</v>
      </c>
      <c r="B25">
        <v>366</v>
      </c>
      <c r="C25" s="85">
        <v>4751.3999999999996</v>
      </c>
    </row>
    <row r="26" spans="1:3">
      <c r="A26">
        <v>1993</v>
      </c>
      <c r="B26">
        <v>284</v>
      </c>
      <c r="C26" s="85">
        <v>4911.8999999999996</v>
      </c>
    </row>
    <row r="27" spans="1:3">
      <c r="A27">
        <v>1994</v>
      </c>
      <c r="B27">
        <v>249.5</v>
      </c>
      <c r="C27" s="85">
        <v>5151.8</v>
      </c>
    </row>
    <row r="28" spans="1:3">
      <c r="A28">
        <v>1995</v>
      </c>
      <c r="B28">
        <v>250.9</v>
      </c>
      <c r="C28" s="85">
        <v>5408.2</v>
      </c>
    </row>
    <row r="29" spans="1:3">
      <c r="A29">
        <v>1996</v>
      </c>
      <c r="B29">
        <v>228.4</v>
      </c>
      <c r="C29" s="85">
        <v>5688.5</v>
      </c>
    </row>
    <row r="30" spans="1:3">
      <c r="A30">
        <v>1997</v>
      </c>
      <c r="B30">
        <v>218.3</v>
      </c>
      <c r="C30" s="85">
        <v>5988.8</v>
      </c>
    </row>
    <row r="31" spans="1:3">
      <c r="A31">
        <v>1998</v>
      </c>
      <c r="B31">
        <v>276.8</v>
      </c>
      <c r="C31" s="85">
        <v>6395.9</v>
      </c>
    </row>
    <row r="32" spans="1:3">
      <c r="A32">
        <v>1999</v>
      </c>
      <c r="B32">
        <v>158.6</v>
      </c>
      <c r="C32" s="85">
        <v>6695</v>
      </c>
    </row>
    <row r="33" spans="1:3">
      <c r="A33">
        <v>2000</v>
      </c>
      <c r="B33">
        <v>168.5</v>
      </c>
      <c r="C33" s="85">
        <v>7194</v>
      </c>
    </row>
    <row r="34" spans="1:3">
      <c r="A34">
        <v>2001</v>
      </c>
      <c r="B34">
        <v>132.30000000000001</v>
      </c>
      <c r="C34" s="85">
        <v>7486.8</v>
      </c>
    </row>
    <row r="35" spans="1:3">
      <c r="A35">
        <v>2002</v>
      </c>
      <c r="B35">
        <v>184.7</v>
      </c>
      <c r="C35" s="85">
        <v>7830.1</v>
      </c>
    </row>
    <row r="36" spans="1:3">
      <c r="A36">
        <v>2003</v>
      </c>
      <c r="B36">
        <v>174.9</v>
      </c>
      <c r="C36" s="85">
        <v>8162.5</v>
      </c>
    </row>
    <row r="37" spans="1:3">
      <c r="A37">
        <v>2004</v>
      </c>
      <c r="B37">
        <v>174.3</v>
      </c>
      <c r="C37" s="85">
        <v>8681.6</v>
      </c>
    </row>
    <row r="38" spans="1:3">
      <c r="A38">
        <v>2005</v>
      </c>
      <c r="B38">
        <v>-34.799999999999997</v>
      </c>
      <c r="C38" s="85">
        <v>9036.1</v>
      </c>
    </row>
    <row r="40" spans="1:3">
      <c r="A40">
        <v>3</v>
      </c>
    </row>
    <row r="41" spans="1:3">
      <c r="A41" t="s">
        <v>550</v>
      </c>
    </row>
    <row r="42" spans="1:3">
      <c r="A42" t="s">
        <v>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C4FF-1150-4622-A591-E51739EEB03F}">
  <dimension ref="A1:X619"/>
  <sheetViews>
    <sheetView topLeftCell="A583" workbookViewId="0">
      <selection activeCell="D591" sqref="D591"/>
    </sheetView>
  </sheetViews>
  <sheetFormatPr defaultColWidth="8.85546875" defaultRowHeight="15"/>
  <cols>
    <col min="1" max="1" width="36" bestFit="1" customWidth="1"/>
    <col min="2" max="2" width="5" bestFit="1" customWidth="1"/>
    <col min="3" max="3" width="6.85546875" bestFit="1" customWidth="1"/>
    <col min="4" max="4" width="7" bestFit="1" customWidth="1"/>
  </cols>
  <sheetData>
    <row r="1" spans="1:24">
      <c r="A1" t="s">
        <v>83</v>
      </c>
    </row>
    <row r="2" spans="1:24">
      <c r="A2" t="s">
        <v>84</v>
      </c>
    </row>
    <row r="3" spans="1:24">
      <c r="A3" s="17" t="s">
        <v>85</v>
      </c>
    </row>
    <row r="4" spans="1:24">
      <c r="A4" s="17"/>
    </row>
    <row r="5" spans="1:24">
      <c r="A5" s="23" t="s">
        <v>73</v>
      </c>
      <c r="B5" t="s">
        <v>63</v>
      </c>
      <c r="C5" t="s">
        <v>108</v>
      </c>
      <c r="D5" t="s">
        <v>109</v>
      </c>
      <c r="H5" s="94" t="s">
        <v>63</v>
      </c>
      <c r="I5" s="109" t="s">
        <v>1260</v>
      </c>
      <c r="J5" s="109"/>
      <c r="K5" s="109" t="s">
        <v>1261</v>
      </c>
      <c r="L5" s="109"/>
      <c r="M5" s="109" t="s">
        <v>1262</v>
      </c>
      <c r="N5" s="109"/>
      <c r="O5" s="109" t="s">
        <v>1263</v>
      </c>
      <c r="P5" s="109"/>
      <c r="Q5" s="109" t="s">
        <v>1264</v>
      </c>
      <c r="R5" s="109"/>
      <c r="T5" t="s">
        <v>63</v>
      </c>
      <c r="U5" t="s">
        <v>1306</v>
      </c>
      <c r="V5" t="s">
        <v>70</v>
      </c>
      <c r="W5" t="s">
        <v>68</v>
      </c>
      <c r="X5" t="s">
        <v>66</v>
      </c>
    </row>
    <row r="6" spans="1:24" ht="25.5">
      <c r="A6" s="18">
        <f>DATE(1959,1,1)</f>
        <v>21551</v>
      </c>
      <c r="B6">
        <v>1959</v>
      </c>
      <c r="C6">
        <v>1</v>
      </c>
      <c r="D6">
        <v>138.9</v>
      </c>
      <c r="H6" s="96"/>
      <c r="I6" s="95" t="s">
        <v>1265</v>
      </c>
      <c r="J6" s="95" t="s">
        <v>1266</v>
      </c>
      <c r="K6" s="95" t="s">
        <v>1265</v>
      </c>
      <c r="L6" s="95" t="s">
        <v>1266</v>
      </c>
      <c r="M6" s="95" t="s">
        <v>1265</v>
      </c>
      <c r="N6" s="95" t="s">
        <v>1266</v>
      </c>
      <c r="O6" s="95" t="s">
        <v>1265</v>
      </c>
      <c r="P6" s="95" t="s">
        <v>1266</v>
      </c>
      <c r="Q6" s="95" t="s">
        <v>1265</v>
      </c>
      <c r="R6" s="95" t="s">
        <v>1266</v>
      </c>
    </row>
    <row r="7" spans="1:24">
      <c r="A7" s="18">
        <f>DATE(1959,2,1)</f>
        <v>21582</v>
      </c>
      <c r="B7">
        <v>1959</v>
      </c>
      <c r="C7">
        <v>2</v>
      </c>
      <c r="D7">
        <v>139.4</v>
      </c>
      <c r="H7" s="97" t="s">
        <v>1267</v>
      </c>
      <c r="I7" s="98">
        <v>7.5</v>
      </c>
      <c r="J7" s="98">
        <v>7.5019999999999998</v>
      </c>
      <c r="K7" s="98">
        <v>7.5578000000000003</v>
      </c>
      <c r="L7" s="98">
        <v>7.5019999999999998</v>
      </c>
      <c r="M7" s="98">
        <v>18</v>
      </c>
      <c r="N7" s="98">
        <v>18.132000000000001</v>
      </c>
      <c r="O7" s="98">
        <v>2.0489999999999999</v>
      </c>
      <c r="P7" s="98">
        <v>2.0670000000000002</v>
      </c>
      <c r="Q7" s="98">
        <v>2.08</v>
      </c>
      <c r="R7" s="98">
        <v>2.1</v>
      </c>
      <c r="T7">
        <f>VALUE(CONCATENATE(LEFT(H7,2),RIGHT(H7,2)))</f>
        <v>1971</v>
      </c>
      <c r="U7" s="99">
        <v>7.5244</v>
      </c>
      <c r="V7" s="100">
        <v>18</v>
      </c>
      <c r="W7" s="101">
        <v>2.1453000000000002</v>
      </c>
      <c r="X7" s="102">
        <v>2.4819</v>
      </c>
    </row>
    <row r="8" spans="1:24">
      <c r="A8" s="18">
        <f>DATE(1959,3,1)</f>
        <v>21610</v>
      </c>
      <c r="B8">
        <v>1959</v>
      </c>
      <c r="C8">
        <v>3</v>
      </c>
      <c r="D8">
        <v>139.69999999999999</v>
      </c>
      <c r="H8" s="97" t="s">
        <v>1268</v>
      </c>
      <c r="I8" s="98">
        <v>7.6734999999999998</v>
      </c>
      <c r="J8" s="98">
        <v>7.9029999999999996</v>
      </c>
      <c r="K8" s="98">
        <v>7.4730999999999996</v>
      </c>
      <c r="L8" s="98">
        <v>7.2789999999999999</v>
      </c>
      <c r="M8" s="98">
        <v>18.399999999999999</v>
      </c>
      <c r="N8" s="98">
        <v>19.04</v>
      </c>
      <c r="O8" s="98">
        <v>2.1974</v>
      </c>
      <c r="P8" s="98">
        <v>2.2970000000000002</v>
      </c>
      <c r="Q8" s="98">
        <v>2.04</v>
      </c>
      <c r="R8" s="98">
        <v>2.4</v>
      </c>
      <c r="T8">
        <f t="shared" ref="T8:T44" si="0">VALUE(CONCATENATE(LEFT(H8,2),RIGHT(H8,2)))</f>
        <v>1972</v>
      </c>
      <c r="U8" s="99">
        <v>7.5563000000000002</v>
      </c>
      <c r="V8" s="100">
        <v>18.885000000000002</v>
      </c>
      <c r="W8" s="101">
        <v>2.3698000000000001</v>
      </c>
      <c r="X8" s="102">
        <v>2.7810999999999999</v>
      </c>
    </row>
    <row r="9" spans="1:24">
      <c r="A9" s="18">
        <f>DATE(1959,4,1)</f>
        <v>21641</v>
      </c>
      <c r="B9">
        <v>1959</v>
      </c>
      <c r="C9">
        <v>4</v>
      </c>
      <c r="D9">
        <v>139.69999999999999</v>
      </c>
      <c r="H9" s="97" t="s">
        <v>1269</v>
      </c>
      <c r="I9" s="98">
        <v>8.4626000000000001</v>
      </c>
      <c r="J9" s="98">
        <v>9.2370000000000001</v>
      </c>
      <c r="K9" s="98">
        <v>7.6749999999999998</v>
      </c>
      <c r="L9" s="98">
        <v>7.657</v>
      </c>
      <c r="M9" s="98">
        <v>18.842500000000001</v>
      </c>
      <c r="N9" s="98">
        <v>18.972000000000001</v>
      </c>
      <c r="O9" s="98">
        <v>2.4392</v>
      </c>
      <c r="P9" s="98">
        <v>2.698</v>
      </c>
      <c r="Q9" s="98">
        <v>3</v>
      </c>
      <c r="R9" s="98">
        <v>2.9</v>
      </c>
      <c r="T9">
        <f t="shared" si="0"/>
        <v>1973</v>
      </c>
      <c r="U9" s="99">
        <v>7.6741999999999999</v>
      </c>
      <c r="V9" s="100">
        <v>18.8</v>
      </c>
      <c r="W9" s="101">
        <v>2.8957999999999999</v>
      </c>
      <c r="X9" s="102">
        <v>3</v>
      </c>
    </row>
    <row r="10" spans="1:24">
      <c r="A10" s="18">
        <f>DATE(1959,5,1)</f>
        <v>21671</v>
      </c>
      <c r="B10">
        <v>1959</v>
      </c>
      <c r="C10">
        <v>5</v>
      </c>
      <c r="D10">
        <v>140.69999999999999</v>
      </c>
      <c r="H10" s="97" t="s">
        <v>1270</v>
      </c>
      <c r="I10" s="98">
        <v>9.3978999999999999</v>
      </c>
      <c r="J10" s="98">
        <v>9.4550000000000001</v>
      </c>
      <c r="K10" s="98">
        <v>7.7925000000000004</v>
      </c>
      <c r="L10" s="98">
        <v>7.8369999999999997</v>
      </c>
      <c r="M10" s="98">
        <v>18.8</v>
      </c>
      <c r="N10" s="98">
        <v>18.762</v>
      </c>
      <c r="O10" s="98">
        <v>3.0074999999999998</v>
      </c>
      <c r="P10" s="98">
        <v>3.1059999999999999</v>
      </c>
      <c r="Q10" s="98">
        <v>3</v>
      </c>
      <c r="R10" s="98">
        <v>2.8</v>
      </c>
      <c r="T10">
        <f t="shared" si="0"/>
        <v>1974</v>
      </c>
      <c r="U10" s="99">
        <v>8.0374999999999996</v>
      </c>
      <c r="V10" s="100">
        <v>18.8</v>
      </c>
      <c r="W10" s="101">
        <v>3.1107999999999998</v>
      </c>
      <c r="X10" s="102">
        <v>3</v>
      </c>
    </row>
    <row r="11" spans="1:24">
      <c r="A11" s="18">
        <f>DATE(1959,6,1)</f>
        <v>21702</v>
      </c>
      <c r="B11">
        <v>1959</v>
      </c>
      <c r="C11">
        <v>6</v>
      </c>
      <c r="D11">
        <v>141.19999999999999</v>
      </c>
      <c r="H11" s="97" t="s">
        <v>1271</v>
      </c>
      <c r="I11" s="98">
        <v>9.6233000000000004</v>
      </c>
      <c r="J11" s="98">
        <v>9.7230000000000008</v>
      </c>
      <c r="K11" s="98">
        <v>7.9408000000000003</v>
      </c>
      <c r="L11" s="98">
        <v>7.7939999999999996</v>
      </c>
      <c r="M11" s="98">
        <v>18.8</v>
      </c>
      <c r="N11" s="98">
        <v>18.776</v>
      </c>
      <c r="O11" s="98">
        <v>3.1917</v>
      </c>
      <c r="P11" s="98">
        <v>3.3239999999999998</v>
      </c>
      <c r="Q11" s="98">
        <v>3</v>
      </c>
      <c r="R11" s="98">
        <v>2.7</v>
      </c>
      <c r="T11">
        <f t="shared" si="0"/>
        <v>1975</v>
      </c>
      <c r="U11" s="99">
        <v>8.4057999999999993</v>
      </c>
      <c r="V11" s="100">
        <v>18.612500000000001</v>
      </c>
      <c r="W11" s="101">
        <v>3.4167000000000001</v>
      </c>
      <c r="X11" s="102">
        <v>3</v>
      </c>
    </row>
    <row r="12" spans="1:24">
      <c r="A12" s="18">
        <f>DATE(1959,7,1)</f>
        <v>21732</v>
      </c>
      <c r="B12">
        <v>1959</v>
      </c>
      <c r="C12">
        <v>7</v>
      </c>
      <c r="D12">
        <v>141.69999999999999</v>
      </c>
      <c r="H12" s="97" t="s">
        <v>1272</v>
      </c>
      <c r="I12" s="98">
        <v>10.3642</v>
      </c>
      <c r="J12" s="98">
        <v>10.375</v>
      </c>
      <c r="K12" s="98">
        <v>8.6824999999999992</v>
      </c>
      <c r="L12" s="98">
        <v>8.9730000000000008</v>
      </c>
      <c r="M12" s="98">
        <v>18.3933</v>
      </c>
      <c r="N12" s="98">
        <v>17.190000000000001</v>
      </c>
      <c r="O12" s="98">
        <v>3.4458000000000002</v>
      </c>
      <c r="P12" s="98">
        <v>3.5350000000000001</v>
      </c>
      <c r="Q12" s="98">
        <v>3</v>
      </c>
      <c r="R12" s="98">
        <v>3</v>
      </c>
      <c r="T12">
        <f t="shared" si="0"/>
        <v>1976</v>
      </c>
      <c r="U12" s="99">
        <v>9.0016999999999996</v>
      </c>
      <c r="V12" s="100">
        <v>16.254200000000001</v>
      </c>
      <c r="W12" s="101">
        <v>3.5750000000000002</v>
      </c>
      <c r="X12" s="102">
        <v>3</v>
      </c>
    </row>
    <row r="13" spans="1:24">
      <c r="A13" s="18">
        <f>DATE(1959,8,1)</f>
        <v>21763</v>
      </c>
      <c r="B13">
        <v>1959</v>
      </c>
      <c r="C13">
        <v>8</v>
      </c>
      <c r="D13">
        <v>141.9</v>
      </c>
      <c r="H13" s="97" t="s">
        <v>1273</v>
      </c>
      <c r="I13" s="98">
        <v>10.35</v>
      </c>
      <c r="J13" s="98">
        <v>10.206</v>
      </c>
      <c r="K13" s="98">
        <v>8.9774999999999991</v>
      </c>
      <c r="L13" s="98">
        <v>8.8040000000000003</v>
      </c>
      <c r="M13" s="98">
        <v>15.5733</v>
      </c>
      <c r="N13" s="98">
        <v>15.144</v>
      </c>
      <c r="O13" s="98">
        <v>3.6307999999999998</v>
      </c>
      <c r="P13" s="98">
        <v>3.6859999999999999</v>
      </c>
      <c r="Q13" s="98">
        <v>3</v>
      </c>
      <c r="R13" s="98">
        <v>3.2</v>
      </c>
      <c r="T13">
        <f t="shared" si="0"/>
        <v>1977</v>
      </c>
      <c r="U13" s="99">
        <v>8.7624999999999993</v>
      </c>
      <c r="V13" s="100">
        <v>15.291700000000001</v>
      </c>
      <c r="W13" s="101">
        <v>3.7766999999999999</v>
      </c>
      <c r="X13" s="102">
        <v>3.17</v>
      </c>
    </row>
    <row r="14" spans="1:24">
      <c r="A14" s="18">
        <f>DATE(1959,9,1)</f>
        <v>21794</v>
      </c>
      <c r="B14">
        <v>1959</v>
      </c>
      <c r="C14">
        <v>9</v>
      </c>
      <c r="D14">
        <v>141</v>
      </c>
      <c r="H14" s="97" t="s">
        <v>1274</v>
      </c>
      <c r="I14" s="98">
        <v>10.160500000000001</v>
      </c>
      <c r="J14" s="98">
        <v>10.43</v>
      </c>
      <c r="K14" s="98">
        <v>8.5858000000000008</v>
      </c>
      <c r="L14" s="98">
        <v>8.4339999999999993</v>
      </c>
      <c r="M14" s="98">
        <v>15.4292</v>
      </c>
      <c r="N14" s="98">
        <v>15.656000000000001</v>
      </c>
      <c r="O14" s="98">
        <v>3.8357999999999999</v>
      </c>
      <c r="P14" s="98">
        <v>4.1689999999999996</v>
      </c>
      <c r="Q14" s="98">
        <v>3.33</v>
      </c>
      <c r="R14" s="98">
        <v>3.8</v>
      </c>
      <c r="T14">
        <f t="shared" si="0"/>
        <v>1978</v>
      </c>
      <c r="U14" s="99">
        <v>8.2133000000000003</v>
      </c>
      <c r="V14" s="100">
        <v>15.763299999999999</v>
      </c>
      <c r="W14" s="101">
        <v>4.0975000000000001</v>
      </c>
      <c r="X14" s="102">
        <v>3.92</v>
      </c>
    </row>
    <row r="15" spans="1:24">
      <c r="A15" s="18">
        <f>DATE(1959,10,1)</f>
        <v>21824</v>
      </c>
      <c r="B15">
        <v>1959</v>
      </c>
      <c r="C15">
        <v>10</v>
      </c>
      <c r="D15">
        <v>140.5</v>
      </c>
      <c r="H15" s="97" t="s">
        <v>1275</v>
      </c>
      <c r="I15" s="98">
        <v>10.4315</v>
      </c>
      <c r="J15" s="98">
        <v>10.488</v>
      </c>
      <c r="K15" s="98">
        <v>8.2266999999999992</v>
      </c>
      <c r="L15" s="98">
        <v>8.15</v>
      </c>
      <c r="M15" s="98">
        <v>15.9658</v>
      </c>
      <c r="N15" s="98">
        <v>16.861000000000001</v>
      </c>
      <c r="O15" s="98">
        <v>4.22</v>
      </c>
      <c r="P15" s="98">
        <v>4.3639999999999999</v>
      </c>
      <c r="Q15" s="98">
        <v>4</v>
      </c>
      <c r="R15" s="98">
        <v>3.9</v>
      </c>
      <c r="T15">
        <f t="shared" si="0"/>
        <v>1979</v>
      </c>
      <c r="U15" s="99">
        <v>8.1466999999999992</v>
      </c>
      <c r="V15" s="100">
        <v>17.278300000000002</v>
      </c>
      <c r="W15" s="101">
        <v>4.4482999999999997</v>
      </c>
      <c r="X15" s="102">
        <v>3.92</v>
      </c>
    </row>
    <row r="16" spans="1:24">
      <c r="A16" s="18">
        <f>DATE(1959,11,1)</f>
        <v>21855</v>
      </c>
      <c r="B16">
        <v>1959</v>
      </c>
      <c r="C16">
        <v>11</v>
      </c>
      <c r="D16">
        <v>140.4</v>
      </c>
      <c r="H16" s="97" t="s">
        <v>1276</v>
      </c>
      <c r="I16" s="98">
        <v>10.493499999999999</v>
      </c>
      <c r="J16" s="98">
        <v>10.250999999999999</v>
      </c>
      <c r="K16" s="98">
        <v>8.0975000000000001</v>
      </c>
      <c r="L16" s="98">
        <v>8.1929999999999996</v>
      </c>
      <c r="M16" s="98">
        <v>17.655000000000001</v>
      </c>
      <c r="N16" s="98">
        <v>17.753</v>
      </c>
      <c r="O16" s="98">
        <v>4.4717000000000002</v>
      </c>
      <c r="P16" s="98">
        <v>4.2190000000000003</v>
      </c>
      <c r="Q16" s="98">
        <v>3.58</v>
      </c>
      <c r="R16" s="98">
        <v>3.3</v>
      </c>
      <c r="T16">
        <f t="shared" si="0"/>
        <v>1980</v>
      </c>
      <c r="U16" s="99">
        <v>7.88</v>
      </c>
      <c r="V16" s="100">
        <v>18.324200000000001</v>
      </c>
      <c r="W16" s="101">
        <v>4.3433000000000002</v>
      </c>
      <c r="X16" s="102">
        <v>3.83</v>
      </c>
    </row>
    <row r="17" spans="1:24">
      <c r="A17" s="18">
        <f>DATE(1959,12,1)</f>
        <v>21885</v>
      </c>
      <c r="B17">
        <v>1959</v>
      </c>
      <c r="C17">
        <v>12</v>
      </c>
      <c r="D17">
        <v>140</v>
      </c>
      <c r="H17" s="97" t="s">
        <v>1277</v>
      </c>
      <c r="I17" s="98">
        <v>10.1777</v>
      </c>
      <c r="J17" s="98">
        <v>10.061999999999999</v>
      </c>
      <c r="K17" s="98">
        <v>7.9092000000000002</v>
      </c>
      <c r="L17" s="98">
        <v>8.19</v>
      </c>
      <c r="M17" s="98">
        <v>18.504200000000001</v>
      </c>
      <c r="N17" s="98">
        <v>18.38</v>
      </c>
      <c r="O17" s="98">
        <v>4.1875</v>
      </c>
      <c r="P17" s="98">
        <v>3.9</v>
      </c>
      <c r="Q17" s="98">
        <v>3.75</v>
      </c>
      <c r="R17" s="98">
        <v>3.9</v>
      </c>
      <c r="T17">
        <f t="shared" si="0"/>
        <v>1981</v>
      </c>
      <c r="U17" s="99">
        <v>8.6926000000000005</v>
      </c>
      <c r="V17" s="100">
        <v>17.542300000000001</v>
      </c>
      <c r="W17" s="101">
        <v>3.8512</v>
      </c>
      <c r="X17" s="102">
        <v>3.96</v>
      </c>
    </row>
    <row r="18" spans="1:24">
      <c r="A18" s="18">
        <f>DATE(1960,1,1)</f>
        <v>21916</v>
      </c>
      <c r="B18">
        <v>1960</v>
      </c>
      <c r="C18">
        <v>1</v>
      </c>
      <c r="D18">
        <v>140</v>
      </c>
      <c r="H18" s="97" t="s">
        <v>1278</v>
      </c>
      <c r="I18" s="98">
        <v>10.3354</v>
      </c>
      <c r="J18" s="98">
        <v>10.403</v>
      </c>
      <c r="K18" s="98">
        <v>8.9682999999999993</v>
      </c>
      <c r="L18" s="98">
        <v>9.3460000000000001</v>
      </c>
      <c r="M18" s="98">
        <v>17.1096</v>
      </c>
      <c r="N18" s="98">
        <v>16.652000000000001</v>
      </c>
      <c r="O18" s="98">
        <v>3.8607</v>
      </c>
      <c r="P18" s="98">
        <v>3.871</v>
      </c>
      <c r="Q18" s="98">
        <v>3.94</v>
      </c>
      <c r="R18" s="98">
        <v>3.8</v>
      </c>
      <c r="T18">
        <f t="shared" si="0"/>
        <v>1982</v>
      </c>
      <c r="U18" s="99">
        <v>9.4923999999999999</v>
      </c>
      <c r="V18" s="100">
        <v>16.595400000000001</v>
      </c>
      <c r="W18" s="101">
        <v>3.9129</v>
      </c>
      <c r="X18" s="102">
        <v>3.82</v>
      </c>
    </row>
    <row r="19" spans="1:24">
      <c r="A19" s="18">
        <f>DATE(1960,2,1)</f>
        <v>21947</v>
      </c>
      <c r="B19">
        <v>1960</v>
      </c>
      <c r="C19">
        <v>2</v>
      </c>
      <c r="D19">
        <v>139.9</v>
      </c>
      <c r="H19" s="97" t="s">
        <v>1279</v>
      </c>
      <c r="I19" s="98">
        <v>10.562799999999999</v>
      </c>
      <c r="J19" s="98">
        <v>10.754</v>
      </c>
      <c r="K19" s="98">
        <v>9.6660000000000004</v>
      </c>
      <c r="L19" s="98">
        <v>9.9700000000000006</v>
      </c>
      <c r="M19" s="98">
        <v>16.1356</v>
      </c>
      <c r="N19" s="98">
        <v>14.746</v>
      </c>
      <c r="O19" s="98">
        <v>3.96</v>
      </c>
      <c r="P19" s="98">
        <v>4.109</v>
      </c>
      <c r="Q19" s="98">
        <v>3.89</v>
      </c>
      <c r="R19" s="98">
        <v>4.2</v>
      </c>
      <c r="T19">
        <f t="shared" si="0"/>
        <v>1983</v>
      </c>
      <c r="U19" s="99">
        <v>10.1379</v>
      </c>
      <c r="V19" s="100">
        <v>15.3653</v>
      </c>
      <c r="W19" s="101">
        <v>3.976</v>
      </c>
      <c r="X19" s="102">
        <v>4.26</v>
      </c>
    </row>
    <row r="20" spans="1:24">
      <c r="A20" s="18">
        <f>DATE(1960,3,1)</f>
        <v>21976</v>
      </c>
      <c r="B20">
        <v>1960</v>
      </c>
      <c r="C20">
        <v>3</v>
      </c>
      <c r="D20">
        <v>139.80000000000001</v>
      </c>
      <c r="H20" s="97" t="s">
        <v>1280</v>
      </c>
      <c r="I20" s="98">
        <v>10.9405</v>
      </c>
      <c r="J20" s="98">
        <v>11.394</v>
      </c>
      <c r="K20" s="98">
        <v>10.34</v>
      </c>
      <c r="L20" s="98">
        <v>10.707000000000001</v>
      </c>
      <c r="M20" s="98">
        <v>15.417400000000001</v>
      </c>
      <c r="N20" s="98">
        <v>15.446</v>
      </c>
      <c r="O20" s="98">
        <v>3.9401999999999999</v>
      </c>
      <c r="P20" s="98">
        <v>4.1340000000000003</v>
      </c>
      <c r="Q20" s="98">
        <v>4.38</v>
      </c>
      <c r="R20" s="98">
        <v>4.8</v>
      </c>
      <c r="T20">
        <f t="shared" si="0"/>
        <v>1984</v>
      </c>
      <c r="U20" s="99">
        <v>11.3683</v>
      </c>
      <c r="V20" s="100">
        <v>15.1469</v>
      </c>
      <c r="W20" s="101">
        <v>3.9979</v>
      </c>
      <c r="X20" s="102">
        <v>4.79</v>
      </c>
    </row>
    <row r="21" spans="1:24">
      <c r="A21" s="18">
        <f>DATE(1960,4,1)</f>
        <v>22007</v>
      </c>
      <c r="B21">
        <v>1960</v>
      </c>
      <c r="C21">
        <v>4</v>
      </c>
      <c r="D21">
        <v>139.6</v>
      </c>
      <c r="H21" s="97" t="s">
        <v>1281</v>
      </c>
      <c r="I21" s="98">
        <v>11.9328</v>
      </c>
      <c r="J21" s="98">
        <v>12.321</v>
      </c>
      <c r="K21" s="98">
        <v>11.8886</v>
      </c>
      <c r="L21" s="98">
        <v>12.43</v>
      </c>
      <c r="M21" s="98">
        <v>14.8668</v>
      </c>
      <c r="N21" s="98">
        <v>15.45</v>
      </c>
      <c r="O21" s="98">
        <v>3.9876999999999998</v>
      </c>
      <c r="P21" s="98">
        <v>4.0190000000000001</v>
      </c>
      <c r="Q21" s="98">
        <v>4.87</v>
      </c>
      <c r="R21" s="98">
        <v>4.9000000000000004</v>
      </c>
      <c r="T21">
        <f t="shared" si="0"/>
        <v>1985</v>
      </c>
      <c r="U21" s="99">
        <v>12.364000000000001</v>
      </c>
      <c r="V21" s="100">
        <v>15.990399999999999</v>
      </c>
      <c r="W21" s="101">
        <v>4.2282000000000002</v>
      </c>
      <c r="X21" s="102">
        <v>5.22</v>
      </c>
    </row>
    <row r="22" spans="1:24">
      <c r="A22" s="18">
        <f>DATE(1960,5,1)</f>
        <v>22037</v>
      </c>
      <c r="B22">
        <v>1960</v>
      </c>
      <c r="C22">
        <v>5</v>
      </c>
      <c r="D22">
        <v>139.6</v>
      </c>
      <c r="H22" s="97" t="s">
        <v>1282</v>
      </c>
      <c r="I22" s="98">
        <v>12.9232</v>
      </c>
      <c r="J22" s="98">
        <v>13.986000000000001</v>
      </c>
      <c r="K22" s="98">
        <v>12.2349</v>
      </c>
      <c r="L22" s="98">
        <v>12.306100000000001</v>
      </c>
      <c r="M22" s="98">
        <v>16.846699999999998</v>
      </c>
      <c r="N22" s="98">
        <v>18.25</v>
      </c>
      <c r="O22" s="98">
        <v>4.5552999999999999</v>
      </c>
      <c r="P22" s="98">
        <v>5.3019999999999996</v>
      </c>
      <c r="Q22" s="98">
        <v>5.62</v>
      </c>
      <c r="R22" s="98">
        <v>6.8</v>
      </c>
      <c r="T22">
        <f t="shared" si="0"/>
        <v>1986</v>
      </c>
      <c r="U22" s="99">
        <v>12.6053</v>
      </c>
      <c r="V22" s="100">
        <v>18.4924</v>
      </c>
      <c r="W22" s="101">
        <v>5.8414000000000001</v>
      </c>
      <c r="X22" s="102">
        <v>7.54</v>
      </c>
    </row>
    <row r="23" spans="1:24">
      <c r="A23" s="18">
        <f>DATE(1960,6,1)</f>
        <v>22068</v>
      </c>
      <c r="B23">
        <v>1960</v>
      </c>
      <c r="C23">
        <v>6</v>
      </c>
      <c r="D23">
        <v>139.6</v>
      </c>
      <c r="H23" s="97" t="s">
        <v>1283</v>
      </c>
      <c r="I23" s="98">
        <v>15.4472</v>
      </c>
      <c r="J23" s="98">
        <v>16.620999999999999</v>
      </c>
      <c r="K23" s="98">
        <v>12.7782</v>
      </c>
      <c r="L23" s="98">
        <v>12.888199999999999</v>
      </c>
      <c r="M23" s="98">
        <v>19.072199999999999</v>
      </c>
      <c r="N23" s="98">
        <v>20.748999999999999</v>
      </c>
      <c r="O23" s="98">
        <v>6.2969999999999997</v>
      </c>
      <c r="P23" s="98">
        <v>7.1619999999999999</v>
      </c>
      <c r="Q23" s="98">
        <v>8.02</v>
      </c>
      <c r="R23" s="98">
        <v>8.9</v>
      </c>
      <c r="T23">
        <f>VALUE(CONCATENATE(LEFT(H23,2),RIGHT(H23,2)))</f>
        <v>1987</v>
      </c>
      <c r="U23" s="99">
        <v>12.9552</v>
      </c>
      <c r="V23" s="100">
        <v>21.236599999999999</v>
      </c>
      <c r="W23" s="101">
        <v>7.2206999999999999</v>
      </c>
      <c r="X23" s="102">
        <v>8.98</v>
      </c>
    </row>
    <row r="24" spans="1:24">
      <c r="A24" s="18">
        <f>DATE(1960,7,1)</f>
        <v>22098</v>
      </c>
      <c r="B24">
        <v>1960</v>
      </c>
      <c r="C24">
        <v>7</v>
      </c>
      <c r="D24">
        <v>140.19999999999999</v>
      </c>
      <c r="H24" s="97" t="s">
        <v>1284</v>
      </c>
      <c r="I24" s="98">
        <v>17.120799999999999</v>
      </c>
      <c r="J24" s="98">
        <v>17.97</v>
      </c>
      <c r="K24" s="98">
        <v>12.9658</v>
      </c>
      <c r="L24" s="98">
        <v>13.0318</v>
      </c>
      <c r="M24" s="98">
        <v>22.087199999999999</v>
      </c>
      <c r="N24" s="98">
        <v>24.350999999999999</v>
      </c>
      <c r="O24" s="98">
        <v>7.4004000000000003</v>
      </c>
      <c r="P24" s="98">
        <v>7.8070000000000004</v>
      </c>
      <c r="Q24" s="98">
        <v>9.41</v>
      </c>
      <c r="R24" s="98">
        <v>10.3</v>
      </c>
      <c r="T24">
        <f t="shared" si="0"/>
        <v>1988</v>
      </c>
      <c r="U24" s="99">
        <v>13.9147</v>
      </c>
      <c r="V24" s="100">
        <v>24.7729</v>
      </c>
      <c r="W24" s="101">
        <v>7.9297000000000004</v>
      </c>
      <c r="X24" s="102">
        <v>10.87</v>
      </c>
    </row>
    <row r="25" spans="1:24">
      <c r="A25" s="18">
        <f>DATE(1960,8,1)</f>
        <v>22129</v>
      </c>
      <c r="B25">
        <v>1960</v>
      </c>
      <c r="C25">
        <v>8</v>
      </c>
      <c r="D25">
        <v>141.30000000000001</v>
      </c>
      <c r="H25" s="97" t="s">
        <v>1285</v>
      </c>
      <c r="I25" s="98">
        <v>19.261900000000001</v>
      </c>
      <c r="J25" s="98">
        <v>20.207999999999998</v>
      </c>
      <c r="K25" s="98">
        <v>14.4817</v>
      </c>
      <c r="L25" s="98">
        <v>15.663</v>
      </c>
      <c r="M25" s="98">
        <v>25.5959</v>
      </c>
      <c r="N25" s="98">
        <v>26.399000000000001</v>
      </c>
      <c r="O25" s="98">
        <v>8.0494000000000003</v>
      </c>
      <c r="P25" s="98">
        <v>8.2590000000000003</v>
      </c>
      <c r="Q25" s="98">
        <v>11.3</v>
      </c>
      <c r="R25" s="98">
        <v>11.8</v>
      </c>
      <c r="T25">
        <f t="shared" si="0"/>
        <v>1989</v>
      </c>
      <c r="U25" s="99">
        <v>16.223800000000001</v>
      </c>
      <c r="V25" s="100">
        <v>26.551500000000001</v>
      </c>
      <c r="W25" s="101">
        <v>8.6438000000000006</v>
      </c>
      <c r="X25" s="102">
        <v>11.76</v>
      </c>
    </row>
    <row r="26" spans="1:24">
      <c r="A26" s="18">
        <f>DATE(1960,9,1)</f>
        <v>22160</v>
      </c>
      <c r="B26">
        <v>1960</v>
      </c>
      <c r="C26">
        <v>9</v>
      </c>
      <c r="D26">
        <v>141.19999999999999</v>
      </c>
      <c r="H26" s="97" t="s">
        <v>1286</v>
      </c>
      <c r="I26" s="98">
        <v>21.368400000000001</v>
      </c>
      <c r="J26" s="98">
        <v>22.408999999999999</v>
      </c>
      <c r="K26" s="98">
        <v>16.6492</v>
      </c>
      <c r="L26" s="98">
        <v>17.3248</v>
      </c>
      <c r="M26" s="98">
        <v>26.917899999999999</v>
      </c>
      <c r="N26" s="98">
        <v>28.300999999999998</v>
      </c>
      <c r="O26" s="98">
        <v>9.0922000000000001</v>
      </c>
      <c r="P26" s="98">
        <v>10.167</v>
      </c>
      <c r="Q26" s="98">
        <v>11.66</v>
      </c>
      <c r="R26" s="98">
        <v>11</v>
      </c>
      <c r="T26">
        <f t="shared" si="0"/>
        <v>1990</v>
      </c>
      <c r="U26" s="99">
        <v>17.499199999999998</v>
      </c>
      <c r="V26" s="100">
        <v>31.2835</v>
      </c>
      <c r="W26" s="101">
        <v>10.869400000000001</v>
      </c>
      <c r="X26" s="102">
        <v>12.16</v>
      </c>
    </row>
    <row r="27" spans="1:24">
      <c r="A27" s="18">
        <f>DATE(1960,10,1)</f>
        <v>22190</v>
      </c>
      <c r="B27">
        <v>1960</v>
      </c>
      <c r="C27">
        <v>10</v>
      </c>
      <c r="D27">
        <v>140.9</v>
      </c>
      <c r="H27" s="97" t="s">
        <v>1287</v>
      </c>
      <c r="I27" s="98">
        <v>24.8431</v>
      </c>
      <c r="J27" s="98">
        <v>26.414000000000001</v>
      </c>
      <c r="K27" s="98">
        <v>17.942799999999998</v>
      </c>
      <c r="L27" s="98">
        <v>19.642900000000001</v>
      </c>
      <c r="M27" s="98">
        <v>33.192999999999998</v>
      </c>
      <c r="N27" s="98">
        <v>34.049999999999997</v>
      </c>
      <c r="O27" s="98">
        <v>11.4351</v>
      </c>
      <c r="P27" s="98">
        <v>11.427</v>
      </c>
      <c r="Q27" s="98">
        <v>12.79</v>
      </c>
      <c r="R27" s="98">
        <v>13.9</v>
      </c>
      <c r="T27">
        <f t="shared" si="0"/>
        <v>1991</v>
      </c>
      <c r="U27" s="99">
        <v>22.689</v>
      </c>
      <c r="V27" s="100">
        <v>39.994100000000003</v>
      </c>
      <c r="W27" s="101">
        <v>13.6991</v>
      </c>
      <c r="X27" s="102">
        <v>16.920000000000002</v>
      </c>
    </row>
    <row r="28" spans="1:24">
      <c r="A28" s="18">
        <f>DATE(1960,11,1)</f>
        <v>22221</v>
      </c>
      <c r="B28">
        <v>1960</v>
      </c>
      <c r="C28">
        <v>11</v>
      </c>
      <c r="D28">
        <v>140.9</v>
      </c>
      <c r="H28" s="97" t="s">
        <v>1288</v>
      </c>
      <c r="I28" s="98">
        <v>33.432499999999997</v>
      </c>
      <c r="J28" s="98">
        <v>35.514299999999999</v>
      </c>
      <c r="K28" s="98">
        <v>24.473700000000001</v>
      </c>
      <c r="L28" s="98">
        <v>31.2256</v>
      </c>
      <c r="M28" s="98">
        <v>42.515099999999997</v>
      </c>
      <c r="N28" s="98">
        <v>53.691299999999998</v>
      </c>
      <c r="O28" s="98">
        <v>14.6248</v>
      </c>
      <c r="P28" s="98">
        <v>18.350100000000001</v>
      </c>
      <c r="Q28" s="98">
        <v>18.440000000000001</v>
      </c>
      <c r="R28" s="98">
        <v>23.28</v>
      </c>
      <c r="T28">
        <f t="shared" si="0"/>
        <v>1992</v>
      </c>
      <c r="U28" s="99">
        <v>25.9206</v>
      </c>
      <c r="V28" s="100">
        <v>45.7104</v>
      </c>
      <c r="W28" s="101">
        <v>16.635400000000001</v>
      </c>
      <c r="X28" s="102">
        <v>20.48</v>
      </c>
    </row>
    <row r="29" spans="1:24">
      <c r="A29" s="18">
        <f>DATE(1960,12,1)</f>
        <v>22251</v>
      </c>
      <c r="B29">
        <v>1960</v>
      </c>
      <c r="C29">
        <v>12</v>
      </c>
      <c r="D29">
        <v>140.69999999999999</v>
      </c>
      <c r="H29" s="97" t="s">
        <v>1289</v>
      </c>
      <c r="I29" s="98">
        <v>37.141500000000001</v>
      </c>
      <c r="J29" s="98">
        <v>43.6511</v>
      </c>
      <c r="K29" s="98">
        <v>30.648800000000001</v>
      </c>
      <c r="L29" s="98">
        <v>31.235399999999998</v>
      </c>
      <c r="M29" s="98">
        <v>51.6858</v>
      </c>
      <c r="N29" s="98">
        <v>46.62</v>
      </c>
      <c r="O29" s="98">
        <v>19.587700000000002</v>
      </c>
      <c r="P29" s="98">
        <v>19.2864</v>
      </c>
      <c r="Q29" s="98">
        <v>24.59</v>
      </c>
      <c r="R29" s="98">
        <v>26.99</v>
      </c>
      <c r="T29">
        <f t="shared" si="0"/>
        <v>1993</v>
      </c>
      <c r="U29" s="99">
        <v>31.443899999999999</v>
      </c>
      <c r="V29" s="100">
        <v>47.216000000000001</v>
      </c>
      <c r="W29" s="101">
        <v>19.026399999999999</v>
      </c>
      <c r="X29" s="102">
        <v>28.36</v>
      </c>
    </row>
    <row r="30" spans="1:24">
      <c r="A30" s="18">
        <f>DATE(1961,1,1)</f>
        <v>22282</v>
      </c>
      <c r="B30">
        <v>1961</v>
      </c>
      <c r="C30">
        <v>1</v>
      </c>
      <c r="D30">
        <v>141.1</v>
      </c>
      <c r="H30" s="97" t="s">
        <v>1290</v>
      </c>
      <c r="I30" s="98">
        <v>43.886299999999999</v>
      </c>
      <c r="J30" s="98">
        <v>44.313299999999998</v>
      </c>
      <c r="K30" s="98">
        <v>31.365500000000001</v>
      </c>
      <c r="L30" s="98">
        <v>31.372499999999999</v>
      </c>
      <c r="M30" s="98">
        <v>47.206400000000002</v>
      </c>
      <c r="N30" s="98">
        <v>46.52</v>
      </c>
      <c r="O30" s="98">
        <v>18.740300000000001</v>
      </c>
      <c r="P30" s="98">
        <v>18.7575</v>
      </c>
      <c r="Q30" s="98">
        <v>29.11</v>
      </c>
      <c r="R30" s="98">
        <v>35.520000000000003</v>
      </c>
      <c r="T30">
        <f t="shared" si="0"/>
        <v>1994</v>
      </c>
      <c r="U30" s="99">
        <v>31.374199999999998</v>
      </c>
      <c r="V30" s="100">
        <v>48.048200000000001</v>
      </c>
      <c r="W30" s="101">
        <v>19.4345</v>
      </c>
      <c r="X30" s="102">
        <v>30.736999999999998</v>
      </c>
    </row>
    <row r="31" spans="1:24">
      <c r="A31" s="18">
        <f>DATE(1961,2,1)</f>
        <v>22313</v>
      </c>
      <c r="B31">
        <v>1961</v>
      </c>
      <c r="C31">
        <v>2</v>
      </c>
      <c r="D31">
        <v>141.6</v>
      </c>
      <c r="H31" s="97" t="s">
        <v>1291</v>
      </c>
      <c r="I31" s="98">
        <v>45.790799999999997</v>
      </c>
      <c r="J31" s="98">
        <v>49.155799999999999</v>
      </c>
      <c r="K31" s="98">
        <v>31.398599999999998</v>
      </c>
      <c r="L31" s="98">
        <v>31.495000000000001</v>
      </c>
      <c r="M31" s="98">
        <v>48.821100000000001</v>
      </c>
      <c r="N31" s="98">
        <v>50.564999999999998</v>
      </c>
      <c r="O31" s="98">
        <v>20.201699999999999</v>
      </c>
      <c r="P31" s="98">
        <v>22.36</v>
      </c>
      <c r="Q31" s="98">
        <v>31.6341</v>
      </c>
      <c r="R31" s="98">
        <v>35.29</v>
      </c>
      <c r="T31">
        <f t="shared" si="0"/>
        <v>1995</v>
      </c>
      <c r="U31" s="99">
        <v>32.419800000000002</v>
      </c>
      <c r="V31" s="100">
        <v>51.166200000000003</v>
      </c>
      <c r="W31" s="101">
        <v>22.651499999999999</v>
      </c>
      <c r="X31" s="102">
        <v>34.6113</v>
      </c>
    </row>
    <row r="32" spans="1:24">
      <c r="A32" s="18">
        <f>DATE(1961,3,1)</f>
        <v>22341</v>
      </c>
      <c r="B32">
        <v>1961</v>
      </c>
      <c r="C32">
        <v>3</v>
      </c>
      <c r="D32">
        <v>141.9</v>
      </c>
      <c r="H32" s="97" t="s">
        <v>1292</v>
      </c>
      <c r="I32" s="98">
        <v>50.476799999999997</v>
      </c>
      <c r="J32" s="98">
        <v>50.1633</v>
      </c>
      <c r="K32" s="98">
        <v>33.449800000000003</v>
      </c>
      <c r="L32" s="98">
        <v>34.35</v>
      </c>
      <c r="M32" s="98">
        <v>52.352600000000002</v>
      </c>
      <c r="N32" s="98">
        <v>52.43</v>
      </c>
      <c r="O32" s="98">
        <v>23.3993</v>
      </c>
      <c r="P32" s="98">
        <v>23.303799999999999</v>
      </c>
      <c r="Q32" s="98">
        <v>34.842500000000001</v>
      </c>
      <c r="R32" s="98">
        <v>32.299999999999997</v>
      </c>
      <c r="T32">
        <f t="shared" si="0"/>
        <v>1996</v>
      </c>
      <c r="U32" s="99">
        <v>35.427999999999997</v>
      </c>
      <c r="V32" s="100">
        <v>55.342199999999998</v>
      </c>
      <c r="W32" s="101">
        <v>23.569400000000002</v>
      </c>
      <c r="X32" s="102">
        <v>32.597099999999998</v>
      </c>
    </row>
    <row r="33" spans="1:24">
      <c r="A33" s="18">
        <f>DATE(1961,4,1)</f>
        <v>22372</v>
      </c>
      <c r="B33">
        <v>1961</v>
      </c>
      <c r="C33">
        <v>4</v>
      </c>
      <c r="D33">
        <v>142.1</v>
      </c>
      <c r="H33" s="97" t="s">
        <v>1293</v>
      </c>
      <c r="I33" s="98">
        <v>50.885800000000003</v>
      </c>
      <c r="J33" s="98">
        <v>49.803199999999997</v>
      </c>
      <c r="K33" s="98">
        <v>35.499899999999997</v>
      </c>
      <c r="L33" s="98">
        <v>35.914999999999999</v>
      </c>
      <c r="M33" s="98">
        <v>56.364600000000003</v>
      </c>
      <c r="N33" s="98">
        <v>58.693800000000003</v>
      </c>
      <c r="O33" s="98">
        <v>22.924399999999999</v>
      </c>
      <c r="P33" s="98">
        <v>21.386299999999999</v>
      </c>
      <c r="Q33" s="98">
        <v>31.587900000000001</v>
      </c>
      <c r="R33" s="98">
        <v>28.95</v>
      </c>
      <c r="T33">
        <f t="shared" si="0"/>
        <v>1997</v>
      </c>
      <c r="U33" s="99">
        <v>36.319499999999998</v>
      </c>
      <c r="V33" s="100">
        <v>59.534599999999998</v>
      </c>
      <c r="W33" s="101">
        <v>20.9861</v>
      </c>
      <c r="X33" s="102">
        <v>30.049499999999998</v>
      </c>
    </row>
    <row r="34" spans="1:24">
      <c r="A34" s="18">
        <f>DATE(1961,5,1)</f>
        <v>22402</v>
      </c>
      <c r="B34">
        <v>1961</v>
      </c>
      <c r="C34">
        <v>5</v>
      </c>
      <c r="D34">
        <v>142.69999999999999</v>
      </c>
      <c r="H34" s="97" t="s">
        <v>1294</v>
      </c>
      <c r="I34" s="98">
        <v>50.673499999999997</v>
      </c>
      <c r="J34" s="98">
        <v>52.767699999999998</v>
      </c>
      <c r="K34" s="98">
        <v>37.1648</v>
      </c>
      <c r="L34" s="98">
        <v>39.494999999999997</v>
      </c>
      <c r="M34" s="98">
        <v>61.024000000000001</v>
      </c>
      <c r="N34" s="98">
        <v>66.163799999999995</v>
      </c>
      <c r="O34" s="98">
        <v>20.961300000000001</v>
      </c>
      <c r="P34" s="98">
        <v>21.335000000000001</v>
      </c>
      <c r="Q34" s="98">
        <v>30.298999999999999</v>
      </c>
      <c r="R34" s="98">
        <v>29.78</v>
      </c>
      <c r="T34">
        <f>VALUE(CONCATENATE(LEFT(H34,2),RIGHT(H34,2)))</f>
        <v>1998</v>
      </c>
      <c r="U34" s="99">
        <v>41.266500000000001</v>
      </c>
      <c r="V34" s="100">
        <v>68.352500000000006</v>
      </c>
      <c r="W34" s="101">
        <v>23.505700000000001</v>
      </c>
      <c r="X34" s="102">
        <v>31.667999999999999</v>
      </c>
    </row>
    <row r="35" spans="1:24">
      <c r="A35" s="18">
        <f>DATE(1961,6,1)</f>
        <v>22433</v>
      </c>
      <c r="B35">
        <v>1961</v>
      </c>
      <c r="C35">
        <v>6</v>
      </c>
      <c r="D35">
        <v>142.9</v>
      </c>
      <c r="H35" s="97" t="s">
        <v>1295</v>
      </c>
      <c r="I35" s="98">
        <v>57.512900000000002</v>
      </c>
      <c r="J35" s="98">
        <v>57.613199999999999</v>
      </c>
      <c r="K35" s="98">
        <v>42.070599999999999</v>
      </c>
      <c r="L35" s="98">
        <v>42.435000000000002</v>
      </c>
      <c r="M35" s="98">
        <v>69.5505</v>
      </c>
      <c r="N35" s="98">
        <v>68.358800000000002</v>
      </c>
      <c r="O35" s="98">
        <v>24.179200000000002</v>
      </c>
      <c r="P35" s="98" t="s">
        <v>1296</v>
      </c>
      <c r="Q35" s="98">
        <v>33.134099999999997</v>
      </c>
      <c r="R35" s="98">
        <v>35.33</v>
      </c>
      <c r="T35">
        <f t="shared" si="0"/>
        <v>1999</v>
      </c>
      <c r="U35" s="99">
        <v>43.055199999999999</v>
      </c>
      <c r="V35" s="100">
        <v>69.67</v>
      </c>
      <c r="W35" s="101">
        <v>45.956099999999999</v>
      </c>
      <c r="X35" s="102">
        <v>37.9983</v>
      </c>
    </row>
    <row r="36" spans="1:24">
      <c r="A36" s="18">
        <f>DATE(1961,7,1)</f>
        <v>22463</v>
      </c>
      <c r="B36">
        <v>1961</v>
      </c>
      <c r="C36">
        <v>7</v>
      </c>
      <c r="D36">
        <v>142.9</v>
      </c>
      <c r="H36" s="97" t="s">
        <v>1297</v>
      </c>
      <c r="I36" s="98">
        <v>58.933500000000002</v>
      </c>
      <c r="J36" s="98">
        <v>58.750500000000002</v>
      </c>
      <c r="K36" s="98">
        <v>43.332700000000003</v>
      </c>
      <c r="L36" s="98">
        <v>43.604999999999997</v>
      </c>
      <c r="M36" s="98">
        <v>69.850999999999999</v>
      </c>
      <c r="N36" s="98">
        <v>69.510000000000005</v>
      </c>
      <c r="O36" s="98">
        <v>44.790900000000001</v>
      </c>
      <c r="P36" s="98">
        <v>41.797499999999999</v>
      </c>
      <c r="Q36" s="98">
        <v>39.060600000000001</v>
      </c>
      <c r="R36" s="98">
        <v>41.482500000000002</v>
      </c>
      <c r="T36">
        <f t="shared" si="0"/>
        <v>1900</v>
      </c>
      <c r="U36" s="99">
        <v>44.940100000000001</v>
      </c>
      <c r="V36" s="100">
        <v>68.075999999999993</v>
      </c>
      <c r="W36" s="101">
        <v>41.493899999999996</v>
      </c>
      <c r="X36" s="102">
        <v>41.7258</v>
      </c>
    </row>
    <row r="37" spans="1:24">
      <c r="A37" s="18">
        <f>DATE(1961,8,1)</f>
        <v>22494</v>
      </c>
      <c r="B37">
        <v>1961</v>
      </c>
      <c r="C37">
        <v>8</v>
      </c>
      <c r="D37">
        <v>143.5</v>
      </c>
      <c r="H37" s="97" t="s">
        <v>1298</v>
      </c>
      <c r="I37" s="98">
        <v>59.545900000000003</v>
      </c>
      <c r="J37" s="98">
        <v>58.796900000000001</v>
      </c>
      <c r="K37" s="98">
        <v>45.684399999999997</v>
      </c>
      <c r="L37" s="98">
        <v>46.64</v>
      </c>
      <c r="M37" s="98">
        <v>67.552199999999999</v>
      </c>
      <c r="N37" s="98">
        <v>66.578800000000001</v>
      </c>
      <c r="O37" s="98">
        <v>41.483199999999997</v>
      </c>
      <c r="P37" s="98">
        <v>41.011299999999999</v>
      </c>
      <c r="Q37" s="98">
        <v>41.405200000000001</v>
      </c>
      <c r="R37" s="98">
        <v>37.433799999999998</v>
      </c>
      <c r="T37">
        <f t="shared" si="0"/>
        <v>2001</v>
      </c>
      <c r="U37" s="99">
        <v>47.185699999999997</v>
      </c>
      <c r="V37" s="100">
        <v>67.982600000000005</v>
      </c>
      <c r="W37" s="101">
        <v>42.286900000000003</v>
      </c>
      <c r="X37" s="102">
        <v>38.867400000000004</v>
      </c>
    </row>
    <row r="38" spans="1:24">
      <c r="A38" s="18">
        <f>DATE(1961,9,1)</f>
        <v>22525</v>
      </c>
      <c r="B38">
        <v>1961</v>
      </c>
      <c r="C38">
        <v>9</v>
      </c>
      <c r="D38">
        <v>143.80000000000001</v>
      </c>
      <c r="H38" s="97" t="s">
        <v>1299</v>
      </c>
      <c r="I38" s="98">
        <v>60.215000000000003</v>
      </c>
      <c r="J38" s="98">
        <v>60.8446</v>
      </c>
      <c r="K38" s="98">
        <v>47.691899999999997</v>
      </c>
      <c r="L38" s="98">
        <v>48.8</v>
      </c>
      <c r="M38" s="98">
        <v>68.318899999999999</v>
      </c>
      <c r="N38" s="98">
        <v>69.586299999999994</v>
      </c>
      <c r="O38" s="98">
        <v>42.181100000000001</v>
      </c>
      <c r="P38" s="98">
        <v>42.643799999999999</v>
      </c>
      <c r="Q38" s="98">
        <v>38.179000000000002</v>
      </c>
      <c r="R38" s="98">
        <v>36.8063</v>
      </c>
      <c r="T38">
        <f t="shared" si="0"/>
        <v>2002</v>
      </c>
      <c r="U38" s="99">
        <v>48.599299999999999</v>
      </c>
      <c r="V38" s="100">
        <v>73.002799999999993</v>
      </c>
      <c r="W38" s="101">
        <v>45.926099999999998</v>
      </c>
      <c r="X38" s="102">
        <v>38.872199999999999</v>
      </c>
    </row>
    <row r="39" spans="1:24">
      <c r="A39" s="18">
        <f>DATE(1961,10,1)</f>
        <v>22555</v>
      </c>
      <c r="B39">
        <v>1961</v>
      </c>
      <c r="C39">
        <v>10</v>
      </c>
      <c r="D39">
        <v>144.1</v>
      </c>
      <c r="H39" s="97" t="s">
        <v>1300</v>
      </c>
      <c r="I39" s="98">
        <v>64.125699999999995</v>
      </c>
      <c r="J39" s="98">
        <v>65.254999999999995</v>
      </c>
      <c r="K39" s="98">
        <v>48.395299999999999</v>
      </c>
      <c r="L39" s="98">
        <v>47.505000000000003</v>
      </c>
      <c r="M39" s="98">
        <v>74.819299999999998</v>
      </c>
      <c r="N39" s="98">
        <v>74.922499999999999</v>
      </c>
      <c r="O39" s="98">
        <v>48.0901</v>
      </c>
      <c r="P39" s="98">
        <v>51.4925</v>
      </c>
      <c r="Q39" s="98">
        <v>39.7363</v>
      </c>
      <c r="R39" s="98">
        <v>39.892499999999998</v>
      </c>
      <c r="T39">
        <f t="shared" si="0"/>
        <v>2003</v>
      </c>
      <c r="U39" s="99">
        <v>46.581800000000001</v>
      </c>
      <c r="V39" s="100">
        <v>76.097399999999993</v>
      </c>
      <c r="W39" s="101">
        <v>52.660299999999999</v>
      </c>
      <c r="X39" s="102">
        <v>40.204700000000003</v>
      </c>
    </row>
    <row r="40" spans="1:24">
      <c r="A40" s="18">
        <f>DATE(1961,11,1)</f>
        <v>22586</v>
      </c>
      <c r="B40">
        <v>1961</v>
      </c>
      <c r="C40">
        <v>11</v>
      </c>
      <c r="D40">
        <v>144.80000000000001</v>
      </c>
      <c r="H40" s="97" t="s">
        <v>1301</v>
      </c>
      <c r="I40" s="98">
        <v>65.687600000000003</v>
      </c>
      <c r="J40" s="98">
        <v>64.2393</v>
      </c>
      <c r="K40" s="98">
        <v>45.951599999999999</v>
      </c>
      <c r="L40" s="98">
        <v>43.445</v>
      </c>
      <c r="M40" s="98">
        <v>77.738900000000001</v>
      </c>
      <c r="N40" s="98">
        <v>79.681299999999993</v>
      </c>
      <c r="O40" s="98">
        <v>53.989600000000003</v>
      </c>
      <c r="P40" s="98">
        <v>53.172499999999999</v>
      </c>
      <c r="Q40" s="98">
        <v>40.707700000000003</v>
      </c>
      <c r="R40" s="98">
        <v>41.672499999999999</v>
      </c>
      <c r="T40">
        <f t="shared" si="0"/>
        <v>2004</v>
      </c>
      <c r="U40" s="99">
        <v>45.316499999999998</v>
      </c>
      <c r="V40" s="100">
        <v>82.9983</v>
      </c>
      <c r="W40" s="101">
        <v>56.325899999999997</v>
      </c>
      <c r="X40" s="102">
        <v>41.894100000000002</v>
      </c>
    </row>
    <row r="41" spans="1:24">
      <c r="A41" s="18">
        <f>DATE(1961,12,1)</f>
        <v>22616</v>
      </c>
      <c r="B41">
        <v>1961</v>
      </c>
      <c r="C41">
        <v>12</v>
      </c>
      <c r="D41">
        <v>145.19999999999999</v>
      </c>
      <c r="H41" s="97" t="s">
        <v>1302</v>
      </c>
      <c r="I41" s="98">
        <v>66.928200000000004</v>
      </c>
      <c r="J41" s="98">
        <v>66.098699999999994</v>
      </c>
      <c r="K41" s="98">
        <v>44.9315</v>
      </c>
      <c r="L41" s="98">
        <v>43.755000000000003</v>
      </c>
      <c r="M41" s="98">
        <v>82.864400000000003</v>
      </c>
      <c r="N41" s="98">
        <v>82.112499999999997</v>
      </c>
      <c r="O41" s="98">
        <v>56.512999999999998</v>
      </c>
      <c r="P41" s="98">
        <v>56.586300000000001</v>
      </c>
      <c r="Q41" s="98">
        <v>41.804600000000001</v>
      </c>
      <c r="R41" s="98">
        <v>40.807499999999997</v>
      </c>
      <c r="T41">
        <f t="shared" si="0"/>
        <v>2005</v>
      </c>
      <c r="U41" s="99">
        <v>44.1</v>
      </c>
      <c r="V41" s="100">
        <v>80.253</v>
      </c>
      <c r="W41" s="101">
        <v>54.899299999999997</v>
      </c>
      <c r="X41" s="102">
        <v>40.101999999999997</v>
      </c>
    </row>
    <row r="42" spans="1:24">
      <c r="A42" s="18">
        <f>DATE(1962,1,1)</f>
        <v>22647</v>
      </c>
      <c r="B42">
        <v>1962</v>
      </c>
      <c r="C42">
        <v>1</v>
      </c>
      <c r="D42">
        <v>145.19999999999999</v>
      </c>
      <c r="H42" s="97" t="s">
        <v>1303</v>
      </c>
      <c r="I42" s="98">
        <v>64.489800000000002</v>
      </c>
      <c r="J42" s="98">
        <v>64.256600000000006</v>
      </c>
      <c r="K42" s="98">
        <v>44.273499999999999</v>
      </c>
      <c r="L42" s="98">
        <v>44.604999999999997</v>
      </c>
      <c r="M42" s="98">
        <v>79.047200000000004</v>
      </c>
      <c r="N42" s="98">
        <v>77.796300000000002</v>
      </c>
      <c r="O42" s="98">
        <v>53.912399999999998</v>
      </c>
      <c r="P42" s="98">
        <v>54.1875</v>
      </c>
      <c r="Q42" s="98">
        <v>39.143799999999999</v>
      </c>
      <c r="R42" s="98">
        <v>38.018799999999999</v>
      </c>
      <c r="T42">
        <f t="shared" si="0"/>
        <v>2006</v>
      </c>
      <c r="U42" s="99">
        <v>45.332500000000003</v>
      </c>
      <c r="V42" s="100">
        <v>83.654600000000002</v>
      </c>
      <c r="W42" s="101">
        <v>57.013800000000003</v>
      </c>
      <c r="X42" s="102">
        <v>39.019500000000001</v>
      </c>
    </row>
    <row r="43" spans="1:24">
      <c r="A43" s="18">
        <f>DATE(1962,2,1)</f>
        <v>22678</v>
      </c>
      <c r="B43">
        <v>1962</v>
      </c>
      <c r="C43">
        <v>2</v>
      </c>
      <c r="D43">
        <v>145.69999999999999</v>
      </c>
      <c r="H43" s="97" t="s">
        <v>1304</v>
      </c>
      <c r="I43" s="98">
        <v>67.253799999999998</v>
      </c>
      <c r="J43" s="98">
        <v>65.828900000000004</v>
      </c>
      <c r="K43" s="98">
        <v>45.2849</v>
      </c>
      <c r="L43" s="98">
        <v>43.594999999999999</v>
      </c>
      <c r="M43" s="98">
        <v>85.727400000000003</v>
      </c>
      <c r="N43" s="98">
        <v>85.593800000000002</v>
      </c>
      <c r="O43" s="98">
        <v>58.110999999999997</v>
      </c>
      <c r="P43" s="98">
        <v>58.151299999999999</v>
      </c>
      <c r="Q43" s="98">
        <v>38.797499999999999</v>
      </c>
      <c r="R43" s="98">
        <v>37.033799999999999</v>
      </c>
      <c r="T43">
        <f t="shared" si="0"/>
        <v>2007</v>
      </c>
      <c r="U43" s="99">
        <v>41.2926</v>
      </c>
      <c r="V43" s="100">
        <v>82.656300000000002</v>
      </c>
      <c r="W43" s="101">
        <v>56.5623</v>
      </c>
      <c r="X43" s="102">
        <v>35.085000000000001</v>
      </c>
    </row>
    <row r="44" spans="1:24">
      <c r="A44" s="18">
        <f>DATE(1962,3,1)</f>
        <v>22706</v>
      </c>
      <c r="B44">
        <v>1962</v>
      </c>
      <c r="C44">
        <v>3</v>
      </c>
      <c r="D44">
        <v>146</v>
      </c>
      <c r="H44" s="97" t="s">
        <v>1305</v>
      </c>
      <c r="I44" s="98">
        <v>62.650599999999997</v>
      </c>
      <c r="J44" s="98">
        <v>65.730699999999999</v>
      </c>
      <c r="K44" s="98">
        <v>40.241</v>
      </c>
      <c r="L44" s="98">
        <v>39.984999999999999</v>
      </c>
      <c r="M44" s="98">
        <v>80.801599999999993</v>
      </c>
      <c r="N44" s="98">
        <v>79.513800000000003</v>
      </c>
      <c r="O44" s="98">
        <v>56.990600000000001</v>
      </c>
      <c r="P44" s="98">
        <v>63.096299999999999</v>
      </c>
      <c r="Q44" s="98">
        <v>35.2896</v>
      </c>
      <c r="R44" s="98">
        <v>40.064999999999998</v>
      </c>
      <c r="T44">
        <f t="shared" si="0"/>
        <v>2008</v>
      </c>
    </row>
    <row r="45" spans="1:24">
      <c r="A45" s="18">
        <f>DATE(1962,4,1)</f>
        <v>22737</v>
      </c>
      <c r="B45">
        <v>1962</v>
      </c>
      <c r="C45">
        <v>4</v>
      </c>
      <c r="D45">
        <v>146.4</v>
      </c>
    </row>
    <row r="46" spans="1:24">
      <c r="A46" s="18">
        <f>DATE(1962,5,1)</f>
        <v>22767</v>
      </c>
      <c r="B46">
        <v>1962</v>
      </c>
      <c r="C46">
        <v>5</v>
      </c>
      <c r="D46">
        <v>146.80000000000001</v>
      </c>
    </row>
    <row r="47" spans="1:24">
      <c r="A47" s="18">
        <f>DATE(1962,6,1)</f>
        <v>22798</v>
      </c>
      <c r="B47">
        <v>1962</v>
      </c>
      <c r="C47">
        <v>6</v>
      </c>
      <c r="D47">
        <v>146.6</v>
      </c>
    </row>
    <row r="48" spans="1:24">
      <c r="A48" s="18">
        <f>DATE(1962,7,1)</f>
        <v>22828</v>
      </c>
      <c r="B48">
        <v>1962</v>
      </c>
      <c r="C48">
        <v>7</v>
      </c>
      <c r="D48">
        <v>146.5</v>
      </c>
    </row>
    <row r="49" spans="1:4">
      <c r="A49" s="18">
        <f>DATE(1962,8,1)</f>
        <v>22859</v>
      </c>
      <c r="B49">
        <v>1962</v>
      </c>
      <c r="C49">
        <v>8</v>
      </c>
      <c r="D49">
        <v>146.6</v>
      </c>
    </row>
    <row r="50" spans="1:4">
      <c r="A50" s="18">
        <f>DATE(1962,9,1)</f>
        <v>22890</v>
      </c>
      <c r="B50">
        <v>1962</v>
      </c>
      <c r="C50">
        <v>9</v>
      </c>
      <c r="D50">
        <v>146.30000000000001</v>
      </c>
    </row>
    <row r="51" spans="1:4">
      <c r="A51" s="18">
        <f>DATE(1962,10,1)</f>
        <v>22920</v>
      </c>
      <c r="B51">
        <v>1962</v>
      </c>
      <c r="C51">
        <v>10</v>
      </c>
      <c r="D51">
        <v>146.69999999999999</v>
      </c>
    </row>
    <row r="52" spans="1:4">
      <c r="A52" s="18">
        <f>DATE(1962,11,1)</f>
        <v>22951</v>
      </c>
      <c r="B52">
        <v>1962</v>
      </c>
      <c r="C52">
        <v>11</v>
      </c>
      <c r="D52">
        <v>147.30000000000001</v>
      </c>
    </row>
    <row r="53" spans="1:4">
      <c r="A53" s="18">
        <f>DATE(1962,12,1)</f>
        <v>22981</v>
      </c>
      <c r="B53">
        <v>1962</v>
      </c>
      <c r="C53">
        <v>12</v>
      </c>
      <c r="D53">
        <v>147.80000000000001</v>
      </c>
    </row>
    <row r="54" spans="1:4">
      <c r="A54" s="18">
        <f>DATE(1963,1,1)</f>
        <v>23012</v>
      </c>
      <c r="B54">
        <v>1963</v>
      </c>
      <c r="C54">
        <v>1</v>
      </c>
      <c r="D54">
        <v>148.30000000000001</v>
      </c>
    </row>
    <row r="55" spans="1:4">
      <c r="A55" s="18">
        <f>DATE(1963,2,1)</f>
        <v>23043</v>
      </c>
      <c r="B55">
        <v>1963</v>
      </c>
      <c r="C55">
        <v>2</v>
      </c>
      <c r="D55">
        <v>148.9</v>
      </c>
    </row>
    <row r="56" spans="1:4">
      <c r="A56" s="18">
        <f>DATE(1963,3,1)</f>
        <v>23071</v>
      </c>
      <c r="B56">
        <v>1963</v>
      </c>
      <c r="C56">
        <v>3</v>
      </c>
      <c r="D56">
        <v>149.19999999999999</v>
      </c>
    </row>
    <row r="57" spans="1:4">
      <c r="A57" s="18">
        <f>DATE(1963,4,1)</f>
        <v>23102</v>
      </c>
      <c r="B57">
        <v>1963</v>
      </c>
      <c r="C57">
        <v>4</v>
      </c>
      <c r="D57">
        <v>149.69999999999999</v>
      </c>
    </row>
    <row r="58" spans="1:4">
      <c r="A58" s="18">
        <f>DATE(1963,5,1)</f>
        <v>23132</v>
      </c>
      <c r="B58">
        <v>1963</v>
      </c>
      <c r="C58">
        <v>5</v>
      </c>
      <c r="D58">
        <v>150.4</v>
      </c>
    </row>
    <row r="59" spans="1:4">
      <c r="A59" s="18">
        <f>DATE(1963,6,1)</f>
        <v>23163</v>
      </c>
      <c r="B59">
        <v>1963</v>
      </c>
      <c r="C59">
        <v>6</v>
      </c>
      <c r="D59">
        <v>150.4</v>
      </c>
    </row>
    <row r="60" spans="1:4">
      <c r="A60" s="18">
        <f>DATE(1963,7,1)</f>
        <v>23193</v>
      </c>
      <c r="B60">
        <v>1963</v>
      </c>
      <c r="C60">
        <v>7</v>
      </c>
      <c r="D60">
        <v>151.30000000000001</v>
      </c>
    </row>
    <row r="61" spans="1:4">
      <c r="A61" s="18">
        <f>DATE(1963,8,1)</f>
        <v>23224</v>
      </c>
      <c r="B61">
        <v>1963</v>
      </c>
      <c r="C61">
        <v>8</v>
      </c>
      <c r="D61">
        <v>151.80000000000001</v>
      </c>
    </row>
    <row r="62" spans="1:4">
      <c r="A62" s="18">
        <f>DATE(1963,9,1)</f>
        <v>23255</v>
      </c>
      <c r="B62">
        <v>1963</v>
      </c>
      <c r="C62">
        <v>9</v>
      </c>
      <c r="D62">
        <v>152</v>
      </c>
    </row>
    <row r="63" spans="1:4">
      <c r="A63" s="18">
        <f>DATE(1963,10,1)</f>
        <v>23285</v>
      </c>
      <c r="B63">
        <v>1963</v>
      </c>
      <c r="C63">
        <v>10</v>
      </c>
      <c r="D63">
        <v>152.6</v>
      </c>
    </row>
    <row r="64" spans="1:4">
      <c r="A64" s="18">
        <f>DATE(1963,11,1)</f>
        <v>23316</v>
      </c>
      <c r="B64">
        <v>1963</v>
      </c>
      <c r="C64">
        <v>11</v>
      </c>
      <c r="D64">
        <v>153.69999999999999</v>
      </c>
    </row>
    <row r="65" spans="1:4">
      <c r="A65" s="18">
        <f>DATE(1963,12,1)</f>
        <v>23346</v>
      </c>
      <c r="B65">
        <v>1963</v>
      </c>
      <c r="C65">
        <v>12</v>
      </c>
      <c r="D65">
        <v>153.30000000000001</v>
      </c>
    </row>
    <row r="66" spans="1:4">
      <c r="A66" s="18">
        <f>DATE(1964,1,1)</f>
        <v>23377</v>
      </c>
      <c r="B66">
        <v>1964</v>
      </c>
      <c r="C66">
        <v>1</v>
      </c>
      <c r="D66">
        <v>153.69999999999999</v>
      </c>
    </row>
    <row r="67" spans="1:4">
      <c r="A67" s="18">
        <f>DATE(1964,2,1)</f>
        <v>23408</v>
      </c>
      <c r="B67">
        <v>1964</v>
      </c>
      <c r="C67">
        <v>2</v>
      </c>
      <c r="D67">
        <v>154.30000000000001</v>
      </c>
    </row>
    <row r="68" spans="1:4">
      <c r="A68" s="18">
        <f>DATE(1964,3,1)</f>
        <v>23437</v>
      </c>
      <c r="B68">
        <v>1964</v>
      </c>
      <c r="C68">
        <v>3</v>
      </c>
      <c r="D68">
        <v>154.5</v>
      </c>
    </row>
    <row r="69" spans="1:4">
      <c r="A69" s="18">
        <f>DATE(1964,4,1)</f>
        <v>23468</v>
      </c>
      <c r="B69">
        <v>1964</v>
      </c>
      <c r="C69">
        <v>4</v>
      </c>
      <c r="D69">
        <v>154.80000000000001</v>
      </c>
    </row>
    <row r="70" spans="1:4">
      <c r="A70" s="18">
        <f>DATE(1964,5,1)</f>
        <v>23498</v>
      </c>
      <c r="B70">
        <v>1964</v>
      </c>
      <c r="C70">
        <v>5</v>
      </c>
      <c r="D70">
        <v>155.30000000000001</v>
      </c>
    </row>
    <row r="71" spans="1:4">
      <c r="A71" s="18">
        <f>DATE(1964,6,1)</f>
        <v>23529</v>
      </c>
      <c r="B71">
        <v>1964</v>
      </c>
      <c r="C71">
        <v>6</v>
      </c>
      <c r="D71">
        <v>155.6</v>
      </c>
    </row>
    <row r="72" spans="1:4">
      <c r="A72" s="18">
        <f>DATE(1964,7,1)</f>
        <v>23559</v>
      </c>
      <c r="B72">
        <v>1964</v>
      </c>
      <c r="C72">
        <v>7</v>
      </c>
      <c r="D72">
        <v>156.80000000000001</v>
      </c>
    </row>
    <row r="73" spans="1:4">
      <c r="A73" s="18">
        <f>DATE(1964,8,1)</f>
        <v>23590</v>
      </c>
      <c r="B73">
        <v>1964</v>
      </c>
      <c r="C73">
        <v>8</v>
      </c>
      <c r="D73">
        <v>157.80000000000001</v>
      </c>
    </row>
    <row r="74" spans="1:4">
      <c r="A74" s="18">
        <f>DATE(1964,9,1)</f>
        <v>23621</v>
      </c>
      <c r="B74">
        <v>1964</v>
      </c>
      <c r="C74">
        <v>9</v>
      </c>
      <c r="D74">
        <v>158.69999999999999</v>
      </c>
    </row>
    <row r="75" spans="1:4">
      <c r="A75" s="18">
        <f>DATE(1964,10,1)</f>
        <v>23651</v>
      </c>
      <c r="B75">
        <v>1964</v>
      </c>
      <c r="C75">
        <v>10</v>
      </c>
      <c r="D75">
        <v>159.19999999999999</v>
      </c>
    </row>
    <row r="76" spans="1:4">
      <c r="A76" s="18">
        <f>DATE(1964,11,1)</f>
        <v>23682</v>
      </c>
      <c r="B76">
        <v>1964</v>
      </c>
      <c r="C76">
        <v>11</v>
      </c>
      <c r="D76">
        <v>160</v>
      </c>
    </row>
    <row r="77" spans="1:4">
      <c r="A77" s="18">
        <f>DATE(1964,12,1)</f>
        <v>23712</v>
      </c>
      <c r="B77">
        <v>1964</v>
      </c>
      <c r="C77">
        <v>12</v>
      </c>
      <c r="D77">
        <v>160.30000000000001</v>
      </c>
    </row>
    <row r="78" spans="1:4">
      <c r="A78" s="18">
        <f>DATE(1965,1,1)</f>
        <v>23743</v>
      </c>
      <c r="B78">
        <v>1965</v>
      </c>
      <c r="C78">
        <v>1</v>
      </c>
      <c r="D78">
        <v>160.69999999999999</v>
      </c>
    </row>
    <row r="79" spans="1:4">
      <c r="A79" s="18">
        <f>DATE(1965,2,1)</f>
        <v>23774</v>
      </c>
      <c r="B79">
        <v>1965</v>
      </c>
      <c r="C79">
        <v>2</v>
      </c>
      <c r="D79">
        <v>160.9</v>
      </c>
    </row>
    <row r="80" spans="1:4">
      <c r="A80" s="18">
        <f>DATE(1965,3,1)</f>
        <v>23802</v>
      </c>
      <c r="B80">
        <v>1965</v>
      </c>
      <c r="C80">
        <v>3</v>
      </c>
      <c r="D80">
        <v>161.5</v>
      </c>
    </row>
    <row r="81" spans="1:4">
      <c r="A81" s="18">
        <f>DATE(1965,4,1)</f>
        <v>23833</v>
      </c>
      <c r="B81">
        <v>1965</v>
      </c>
      <c r="C81">
        <v>4</v>
      </c>
      <c r="D81">
        <v>162</v>
      </c>
    </row>
    <row r="82" spans="1:4">
      <c r="A82" s="18">
        <f>DATE(1965,5,1)</f>
        <v>23863</v>
      </c>
      <c r="B82">
        <v>1965</v>
      </c>
      <c r="C82">
        <v>5</v>
      </c>
      <c r="D82">
        <v>161.69999999999999</v>
      </c>
    </row>
    <row r="83" spans="1:4">
      <c r="A83" s="18">
        <f>DATE(1965,6,1)</f>
        <v>23894</v>
      </c>
      <c r="B83">
        <v>1965</v>
      </c>
      <c r="C83">
        <v>6</v>
      </c>
      <c r="D83">
        <v>162.19999999999999</v>
      </c>
    </row>
    <row r="84" spans="1:4">
      <c r="A84" s="18">
        <f>DATE(1965,7,1)</f>
        <v>23924</v>
      </c>
      <c r="B84">
        <v>1965</v>
      </c>
      <c r="C84">
        <v>7</v>
      </c>
      <c r="D84">
        <v>163.1</v>
      </c>
    </row>
    <row r="85" spans="1:4">
      <c r="A85" s="18">
        <f>DATE(1965,8,1)</f>
        <v>23955</v>
      </c>
      <c r="B85">
        <v>1965</v>
      </c>
      <c r="C85">
        <v>8</v>
      </c>
      <c r="D85">
        <v>163.69999999999999</v>
      </c>
    </row>
    <row r="86" spans="1:4">
      <c r="A86" s="18">
        <f>DATE(1965,9,1)</f>
        <v>23986</v>
      </c>
      <c r="B86">
        <v>1965</v>
      </c>
      <c r="C86">
        <v>9</v>
      </c>
      <c r="D86">
        <v>164.9</v>
      </c>
    </row>
    <row r="87" spans="1:4">
      <c r="A87" s="18">
        <f>DATE(1965,10,1)</f>
        <v>24016</v>
      </c>
      <c r="B87">
        <v>1965</v>
      </c>
      <c r="C87">
        <v>10</v>
      </c>
      <c r="D87">
        <v>166</v>
      </c>
    </row>
    <row r="88" spans="1:4">
      <c r="A88" s="18">
        <f>DATE(1965,11,1)</f>
        <v>24047</v>
      </c>
      <c r="B88">
        <v>1965</v>
      </c>
      <c r="C88">
        <v>11</v>
      </c>
      <c r="D88">
        <v>166.7</v>
      </c>
    </row>
    <row r="89" spans="1:4">
      <c r="A89" s="18">
        <f>DATE(1965,12,1)</f>
        <v>24077</v>
      </c>
      <c r="B89">
        <v>1965</v>
      </c>
      <c r="C89">
        <v>12</v>
      </c>
      <c r="D89">
        <v>167.8</v>
      </c>
    </row>
    <row r="90" spans="1:4">
      <c r="A90" s="18">
        <f>DATE(1966,1,1)</f>
        <v>24108</v>
      </c>
      <c r="B90">
        <v>1966</v>
      </c>
      <c r="C90">
        <v>1</v>
      </c>
      <c r="D90">
        <v>169.1</v>
      </c>
    </row>
    <row r="91" spans="1:4">
      <c r="A91" s="18">
        <f>DATE(1966,2,1)</f>
        <v>24139</v>
      </c>
      <c r="B91">
        <v>1966</v>
      </c>
      <c r="C91">
        <v>2</v>
      </c>
      <c r="D91">
        <v>169.6</v>
      </c>
    </row>
    <row r="92" spans="1:4">
      <c r="A92" s="18">
        <f>DATE(1966,3,1)</f>
        <v>24167</v>
      </c>
      <c r="B92">
        <v>1966</v>
      </c>
      <c r="C92">
        <v>3</v>
      </c>
      <c r="D92">
        <v>170.5</v>
      </c>
    </row>
    <row r="93" spans="1:4">
      <c r="A93" s="18">
        <f>DATE(1966,4,1)</f>
        <v>24198</v>
      </c>
      <c r="B93">
        <v>1966</v>
      </c>
      <c r="C93">
        <v>4</v>
      </c>
      <c r="D93">
        <v>171.8</v>
      </c>
    </row>
    <row r="94" spans="1:4">
      <c r="A94" s="18">
        <f>DATE(1966,5,1)</f>
        <v>24228</v>
      </c>
      <c r="B94">
        <v>1966</v>
      </c>
      <c r="C94">
        <v>5</v>
      </c>
      <c r="D94">
        <v>171.3</v>
      </c>
    </row>
    <row r="95" spans="1:4">
      <c r="A95" s="18">
        <f>DATE(1966,6,1)</f>
        <v>24259</v>
      </c>
      <c r="B95">
        <v>1966</v>
      </c>
      <c r="C95">
        <v>6</v>
      </c>
      <c r="D95">
        <v>171.6</v>
      </c>
    </row>
    <row r="96" spans="1:4">
      <c r="A96" s="18">
        <f>DATE(1966,7,1)</f>
        <v>24289</v>
      </c>
      <c r="B96">
        <v>1966</v>
      </c>
      <c r="C96">
        <v>7</v>
      </c>
      <c r="D96">
        <v>170.3</v>
      </c>
    </row>
    <row r="97" spans="1:4">
      <c r="A97" s="18">
        <f>DATE(1966,8,1)</f>
        <v>24320</v>
      </c>
      <c r="B97">
        <v>1966</v>
      </c>
      <c r="C97">
        <v>8</v>
      </c>
      <c r="D97">
        <v>170.8</v>
      </c>
    </row>
    <row r="98" spans="1:4">
      <c r="A98" s="18">
        <f>DATE(1966,9,1)</f>
        <v>24351</v>
      </c>
      <c r="B98">
        <v>1966</v>
      </c>
      <c r="C98">
        <v>9</v>
      </c>
      <c r="D98">
        <v>172</v>
      </c>
    </row>
    <row r="99" spans="1:4">
      <c r="A99" s="18">
        <f>DATE(1966,10,1)</f>
        <v>24381</v>
      </c>
      <c r="B99">
        <v>1966</v>
      </c>
      <c r="C99">
        <v>10</v>
      </c>
      <c r="D99">
        <v>171.2</v>
      </c>
    </row>
    <row r="100" spans="1:4">
      <c r="A100" s="18">
        <f>DATE(1966,11,1)</f>
        <v>24412</v>
      </c>
      <c r="B100">
        <v>1966</v>
      </c>
      <c r="C100">
        <v>11</v>
      </c>
      <c r="D100">
        <v>171.4</v>
      </c>
    </row>
    <row r="101" spans="1:4">
      <c r="A101" s="18">
        <f>DATE(1966,12,1)</f>
        <v>24442</v>
      </c>
      <c r="B101">
        <v>1966</v>
      </c>
      <c r="C101">
        <v>12</v>
      </c>
      <c r="D101">
        <v>172</v>
      </c>
    </row>
    <row r="102" spans="1:4">
      <c r="A102" s="18">
        <f>DATE(1967,1,1)</f>
        <v>24473</v>
      </c>
      <c r="B102">
        <v>1967</v>
      </c>
      <c r="C102">
        <v>1</v>
      </c>
      <c r="D102">
        <v>171.9</v>
      </c>
    </row>
    <row r="103" spans="1:4">
      <c r="A103" s="18">
        <f>DATE(1967,2,1)</f>
        <v>24504</v>
      </c>
      <c r="B103">
        <v>1967</v>
      </c>
      <c r="C103">
        <v>2</v>
      </c>
      <c r="D103">
        <v>173</v>
      </c>
    </row>
    <row r="104" spans="1:4">
      <c r="A104" s="18">
        <f>DATE(1967,3,1)</f>
        <v>24532</v>
      </c>
      <c r="B104">
        <v>1967</v>
      </c>
      <c r="C104">
        <v>3</v>
      </c>
      <c r="D104">
        <v>174.8</v>
      </c>
    </row>
    <row r="105" spans="1:4">
      <c r="A105" s="18">
        <f>DATE(1967,4,1)</f>
        <v>24563</v>
      </c>
      <c r="B105">
        <v>1967</v>
      </c>
      <c r="C105">
        <v>4</v>
      </c>
      <c r="D105">
        <v>174.2</v>
      </c>
    </row>
    <row r="106" spans="1:4">
      <c r="A106" s="18">
        <f>DATE(1967,5,1)</f>
        <v>24593</v>
      </c>
      <c r="B106">
        <v>1967</v>
      </c>
      <c r="C106">
        <v>5</v>
      </c>
      <c r="D106">
        <v>175.7</v>
      </c>
    </row>
    <row r="107" spans="1:4">
      <c r="A107" s="18">
        <f>DATE(1967,6,1)</f>
        <v>24624</v>
      </c>
      <c r="B107">
        <v>1967</v>
      </c>
      <c r="C107">
        <v>6</v>
      </c>
      <c r="D107">
        <v>177</v>
      </c>
    </row>
    <row r="108" spans="1:4">
      <c r="A108" s="18">
        <f>DATE(1967,7,1)</f>
        <v>24654</v>
      </c>
      <c r="B108">
        <v>1967</v>
      </c>
      <c r="C108">
        <v>7</v>
      </c>
      <c r="D108">
        <v>178.1</v>
      </c>
    </row>
    <row r="109" spans="1:4">
      <c r="A109" s="18">
        <f>DATE(1967,8,1)</f>
        <v>24685</v>
      </c>
      <c r="B109">
        <v>1967</v>
      </c>
      <c r="C109">
        <v>8</v>
      </c>
      <c r="D109">
        <v>179.7</v>
      </c>
    </row>
    <row r="110" spans="1:4">
      <c r="A110" s="18">
        <f>DATE(1967,9,1)</f>
        <v>24716</v>
      </c>
      <c r="B110">
        <v>1967</v>
      </c>
      <c r="C110">
        <v>9</v>
      </c>
      <c r="D110">
        <v>180.7</v>
      </c>
    </row>
    <row r="111" spans="1:4">
      <c r="A111" s="18">
        <f>DATE(1967,10,1)</f>
        <v>24746</v>
      </c>
      <c r="B111">
        <v>1967</v>
      </c>
      <c r="C111">
        <v>10</v>
      </c>
      <c r="D111">
        <v>181.6</v>
      </c>
    </row>
    <row r="112" spans="1:4">
      <c r="A112" s="18">
        <f>DATE(1967,11,1)</f>
        <v>24777</v>
      </c>
      <c r="B112">
        <v>1967</v>
      </c>
      <c r="C112">
        <v>11</v>
      </c>
      <c r="D112">
        <v>182.4</v>
      </c>
    </row>
    <row r="113" spans="1:4">
      <c r="A113" s="18">
        <f>DATE(1967,12,1)</f>
        <v>24807</v>
      </c>
      <c r="B113">
        <v>1967</v>
      </c>
      <c r="C113">
        <v>12</v>
      </c>
      <c r="D113">
        <v>183.3</v>
      </c>
    </row>
    <row r="114" spans="1:4">
      <c r="A114" s="18">
        <f>DATE(1968,1,1)</f>
        <v>24838</v>
      </c>
      <c r="B114">
        <v>1968</v>
      </c>
      <c r="C114">
        <v>1</v>
      </c>
      <c r="D114">
        <v>184.3</v>
      </c>
    </row>
    <row r="115" spans="1:4">
      <c r="A115" s="18">
        <f>DATE(1968,2,1)</f>
        <v>24869</v>
      </c>
      <c r="B115">
        <v>1968</v>
      </c>
      <c r="C115">
        <v>2</v>
      </c>
      <c r="D115">
        <v>184.7</v>
      </c>
    </row>
    <row r="116" spans="1:4">
      <c r="A116" s="18">
        <f>DATE(1968,3,1)</f>
        <v>24898</v>
      </c>
      <c r="B116">
        <v>1968</v>
      </c>
      <c r="C116">
        <v>3</v>
      </c>
      <c r="D116">
        <v>185.5</v>
      </c>
    </row>
    <row r="117" spans="1:4">
      <c r="A117" s="18">
        <f>DATE(1968,4,1)</f>
        <v>24929</v>
      </c>
      <c r="B117">
        <v>1968</v>
      </c>
      <c r="C117">
        <v>4</v>
      </c>
      <c r="D117">
        <v>186.6</v>
      </c>
    </row>
    <row r="118" spans="1:4">
      <c r="A118" s="18">
        <f>DATE(1968,5,1)</f>
        <v>24959</v>
      </c>
      <c r="B118">
        <v>1968</v>
      </c>
      <c r="C118">
        <v>5</v>
      </c>
      <c r="D118">
        <v>188</v>
      </c>
    </row>
    <row r="119" spans="1:4">
      <c r="A119" s="18">
        <f>DATE(1968,6,1)</f>
        <v>24990</v>
      </c>
      <c r="B119">
        <v>1968</v>
      </c>
      <c r="C119">
        <v>6</v>
      </c>
      <c r="D119">
        <v>189.4</v>
      </c>
    </row>
    <row r="120" spans="1:4">
      <c r="A120" s="18">
        <f>DATE(1968,7,1)</f>
        <v>25020</v>
      </c>
      <c r="B120">
        <v>1968</v>
      </c>
      <c r="C120">
        <v>7</v>
      </c>
      <c r="D120">
        <v>190.5</v>
      </c>
    </row>
    <row r="121" spans="1:4">
      <c r="A121" s="18">
        <f>DATE(1968,8,1)</f>
        <v>25051</v>
      </c>
      <c r="B121">
        <v>1968</v>
      </c>
      <c r="C121">
        <v>8</v>
      </c>
      <c r="D121">
        <v>191.8</v>
      </c>
    </row>
    <row r="122" spans="1:4">
      <c r="A122" s="18">
        <f>DATE(1968,9,1)</f>
        <v>25082</v>
      </c>
      <c r="B122">
        <v>1968</v>
      </c>
      <c r="C122">
        <v>9</v>
      </c>
      <c r="D122">
        <v>192.7</v>
      </c>
    </row>
    <row r="123" spans="1:4">
      <c r="A123" s="18">
        <f>DATE(1968,10,1)</f>
        <v>25112</v>
      </c>
      <c r="B123">
        <v>1968</v>
      </c>
      <c r="C123">
        <v>10</v>
      </c>
      <c r="D123">
        <v>194</v>
      </c>
    </row>
    <row r="124" spans="1:4">
      <c r="A124" s="18">
        <f>DATE(1968,11,1)</f>
        <v>25143</v>
      </c>
      <c r="B124">
        <v>1968</v>
      </c>
      <c r="C124">
        <v>11</v>
      </c>
      <c r="D124">
        <v>196</v>
      </c>
    </row>
    <row r="125" spans="1:4">
      <c r="A125" s="18">
        <f>DATE(1968,12,1)</f>
        <v>25173</v>
      </c>
      <c r="B125">
        <v>1968</v>
      </c>
      <c r="C125">
        <v>12</v>
      </c>
      <c r="D125">
        <v>197.4</v>
      </c>
    </row>
    <row r="126" spans="1:4">
      <c r="A126" s="18">
        <f>DATE(1969,1,1)</f>
        <v>25204</v>
      </c>
      <c r="B126">
        <v>1969</v>
      </c>
      <c r="C126">
        <v>1</v>
      </c>
      <c r="D126">
        <v>198.7</v>
      </c>
    </row>
    <row r="127" spans="1:4">
      <c r="A127" s="18">
        <f>DATE(1969,2,1)</f>
        <v>25235</v>
      </c>
      <c r="B127">
        <v>1969</v>
      </c>
      <c r="C127">
        <v>2</v>
      </c>
      <c r="D127">
        <v>199.3</v>
      </c>
    </row>
    <row r="128" spans="1:4">
      <c r="A128" s="18">
        <f>DATE(1969,3,1)</f>
        <v>25263</v>
      </c>
      <c r="B128">
        <v>1969</v>
      </c>
      <c r="C128">
        <v>3</v>
      </c>
      <c r="D128">
        <v>200</v>
      </c>
    </row>
    <row r="129" spans="1:4">
      <c r="A129" s="18">
        <f>DATE(1969,4,1)</f>
        <v>25294</v>
      </c>
      <c r="B129">
        <v>1969</v>
      </c>
      <c r="C129">
        <v>4</v>
      </c>
      <c r="D129">
        <v>200.7</v>
      </c>
    </row>
    <row r="130" spans="1:4">
      <c r="A130" s="18">
        <f>DATE(1969,5,1)</f>
        <v>25324</v>
      </c>
      <c r="B130">
        <v>1969</v>
      </c>
      <c r="C130">
        <v>5</v>
      </c>
      <c r="D130">
        <v>200.8</v>
      </c>
    </row>
    <row r="131" spans="1:4">
      <c r="A131" s="18">
        <f>DATE(1969,6,1)</f>
        <v>25355</v>
      </c>
      <c r="B131">
        <v>1969</v>
      </c>
      <c r="C131">
        <v>6</v>
      </c>
      <c r="D131">
        <v>201.3</v>
      </c>
    </row>
    <row r="132" spans="1:4">
      <c r="A132" s="18">
        <f>DATE(1969,7,1)</f>
        <v>25385</v>
      </c>
      <c r="B132">
        <v>1969</v>
      </c>
      <c r="C132">
        <v>7</v>
      </c>
      <c r="D132">
        <v>201.7</v>
      </c>
    </row>
    <row r="133" spans="1:4">
      <c r="A133" s="18">
        <f>DATE(1969,8,1)</f>
        <v>25416</v>
      </c>
      <c r="B133">
        <v>1969</v>
      </c>
      <c r="C133">
        <v>8</v>
      </c>
      <c r="D133">
        <v>201.7</v>
      </c>
    </row>
    <row r="134" spans="1:4">
      <c r="A134" s="18">
        <f>DATE(1969,9,1)</f>
        <v>25447</v>
      </c>
      <c r="B134">
        <v>1969</v>
      </c>
      <c r="C134">
        <v>9</v>
      </c>
      <c r="D134">
        <v>202.1</v>
      </c>
    </row>
    <row r="135" spans="1:4">
      <c r="A135" s="18">
        <f>DATE(1969,10,1)</f>
        <v>25477</v>
      </c>
      <c r="B135">
        <v>1969</v>
      </c>
      <c r="C135">
        <v>10</v>
      </c>
      <c r="D135">
        <v>202.9</v>
      </c>
    </row>
    <row r="136" spans="1:4">
      <c r="A136" s="18">
        <f>DATE(1969,11,1)</f>
        <v>25508</v>
      </c>
      <c r="B136">
        <v>1969</v>
      </c>
      <c r="C136">
        <v>11</v>
      </c>
      <c r="D136">
        <v>203.6</v>
      </c>
    </row>
    <row r="137" spans="1:4">
      <c r="A137" s="18">
        <f>DATE(1969,12,1)</f>
        <v>25538</v>
      </c>
      <c r="B137">
        <v>1969</v>
      </c>
      <c r="C137">
        <v>12</v>
      </c>
      <c r="D137">
        <v>203.9</v>
      </c>
    </row>
    <row r="138" spans="1:4">
      <c r="A138" s="18">
        <f>DATE(1970,1,1)</f>
        <v>25569</v>
      </c>
      <c r="B138">
        <v>1970</v>
      </c>
      <c r="C138">
        <v>1</v>
      </c>
      <c r="D138">
        <v>206.2</v>
      </c>
    </row>
    <row r="139" spans="1:4">
      <c r="A139" s="18">
        <f>DATE(1970,2,1)</f>
        <v>25600</v>
      </c>
      <c r="B139">
        <v>1970</v>
      </c>
      <c r="C139">
        <v>2</v>
      </c>
      <c r="D139">
        <v>205</v>
      </c>
    </row>
    <row r="140" spans="1:4">
      <c r="A140" s="18">
        <f>DATE(1970,3,1)</f>
        <v>25628</v>
      </c>
      <c r="B140">
        <v>1970</v>
      </c>
      <c r="C140">
        <v>3</v>
      </c>
      <c r="D140">
        <v>205.7</v>
      </c>
    </row>
    <row r="141" spans="1:4">
      <c r="A141" s="18">
        <f>DATE(1970,4,1)</f>
        <v>25659</v>
      </c>
      <c r="B141">
        <v>1970</v>
      </c>
      <c r="C141">
        <v>4</v>
      </c>
      <c r="D141">
        <v>206.7</v>
      </c>
    </row>
    <row r="142" spans="1:4">
      <c r="A142" s="18">
        <f>DATE(1970,5,1)</f>
        <v>25689</v>
      </c>
      <c r="B142">
        <v>1970</v>
      </c>
      <c r="C142">
        <v>5</v>
      </c>
      <c r="D142">
        <v>207.2</v>
      </c>
    </row>
    <row r="143" spans="1:4">
      <c r="A143" s="18">
        <f>DATE(1970,6,1)</f>
        <v>25720</v>
      </c>
      <c r="B143">
        <v>1970</v>
      </c>
      <c r="C143">
        <v>6</v>
      </c>
      <c r="D143">
        <v>207.6</v>
      </c>
    </row>
    <row r="144" spans="1:4">
      <c r="A144" s="18">
        <f>DATE(1970,7,1)</f>
        <v>25750</v>
      </c>
      <c r="B144">
        <v>1970</v>
      </c>
      <c r="C144">
        <v>7</v>
      </c>
      <c r="D144">
        <v>208</v>
      </c>
    </row>
    <row r="145" spans="1:4">
      <c r="A145" s="18">
        <f>DATE(1970,8,1)</f>
        <v>25781</v>
      </c>
      <c r="B145">
        <v>1970</v>
      </c>
      <c r="C145">
        <v>8</v>
      </c>
      <c r="D145">
        <v>209.9</v>
      </c>
    </row>
    <row r="146" spans="1:4">
      <c r="A146" s="18">
        <f>DATE(1970,9,1)</f>
        <v>25812</v>
      </c>
      <c r="B146">
        <v>1970</v>
      </c>
      <c r="C146">
        <v>9</v>
      </c>
      <c r="D146">
        <v>211.8</v>
      </c>
    </row>
    <row r="147" spans="1:4">
      <c r="A147" s="18">
        <f>DATE(1970,10,1)</f>
        <v>25842</v>
      </c>
      <c r="B147">
        <v>1970</v>
      </c>
      <c r="C147">
        <v>10</v>
      </c>
      <c r="D147">
        <v>212.9</v>
      </c>
    </row>
    <row r="148" spans="1:4">
      <c r="A148" s="18">
        <f>DATE(1970,11,1)</f>
        <v>25873</v>
      </c>
      <c r="B148">
        <v>1970</v>
      </c>
      <c r="C148">
        <v>11</v>
      </c>
      <c r="D148">
        <v>213.7</v>
      </c>
    </row>
    <row r="149" spans="1:4">
      <c r="A149" s="18">
        <f>DATE(1970,12,1)</f>
        <v>25903</v>
      </c>
      <c r="B149">
        <v>1970</v>
      </c>
      <c r="C149">
        <v>12</v>
      </c>
      <c r="D149">
        <v>214.4</v>
      </c>
    </row>
    <row r="150" spans="1:4">
      <c r="A150" s="18">
        <f>DATE(1971,1,1)</f>
        <v>25934</v>
      </c>
      <c r="B150">
        <v>1971</v>
      </c>
      <c r="C150">
        <v>1</v>
      </c>
      <c r="D150">
        <v>215.5</v>
      </c>
    </row>
    <row r="151" spans="1:4">
      <c r="A151" s="18">
        <f>DATE(1971,2,1)</f>
        <v>25965</v>
      </c>
      <c r="B151">
        <v>1971</v>
      </c>
      <c r="C151">
        <v>2</v>
      </c>
      <c r="D151">
        <v>217.4</v>
      </c>
    </row>
    <row r="152" spans="1:4">
      <c r="A152" s="18">
        <f>DATE(1971,3,1)</f>
        <v>25993</v>
      </c>
      <c r="B152">
        <v>1971</v>
      </c>
      <c r="C152">
        <v>3</v>
      </c>
      <c r="D152">
        <v>218.8</v>
      </c>
    </row>
    <row r="153" spans="1:4">
      <c r="A153" s="18">
        <f>DATE(1971,4,1)</f>
        <v>26024</v>
      </c>
      <c r="B153">
        <v>1971</v>
      </c>
      <c r="C153">
        <v>4</v>
      </c>
      <c r="D153">
        <v>220</v>
      </c>
    </row>
    <row r="154" spans="1:4">
      <c r="A154" s="18">
        <f>DATE(1971,5,1)</f>
        <v>26054</v>
      </c>
      <c r="B154">
        <v>1971</v>
      </c>
      <c r="C154">
        <v>5</v>
      </c>
      <c r="D154">
        <v>222</v>
      </c>
    </row>
    <row r="155" spans="1:4">
      <c r="A155" s="18">
        <f>DATE(1971,6,1)</f>
        <v>26085</v>
      </c>
      <c r="B155">
        <v>1971</v>
      </c>
      <c r="C155">
        <v>6</v>
      </c>
      <c r="D155">
        <v>223.5</v>
      </c>
    </row>
    <row r="156" spans="1:4">
      <c r="A156" s="18">
        <f>DATE(1971,7,1)</f>
        <v>26115</v>
      </c>
      <c r="B156">
        <v>1971</v>
      </c>
      <c r="C156">
        <v>7</v>
      </c>
      <c r="D156">
        <v>224.9</v>
      </c>
    </row>
    <row r="157" spans="1:4">
      <c r="A157" s="18">
        <f>DATE(1971,8,1)</f>
        <v>26146</v>
      </c>
      <c r="B157">
        <v>1971</v>
      </c>
      <c r="C157">
        <v>8</v>
      </c>
      <c r="D157">
        <v>225.6</v>
      </c>
    </row>
    <row r="158" spans="1:4">
      <c r="A158" s="18">
        <f>DATE(1971,9,1)</f>
        <v>26177</v>
      </c>
      <c r="B158">
        <v>1971</v>
      </c>
      <c r="C158">
        <v>9</v>
      </c>
      <c r="D158">
        <v>226.5</v>
      </c>
    </row>
    <row r="159" spans="1:4">
      <c r="A159" s="18">
        <f>DATE(1971,10,1)</f>
        <v>26207</v>
      </c>
      <c r="B159">
        <v>1971</v>
      </c>
      <c r="C159">
        <v>10</v>
      </c>
      <c r="D159">
        <v>227.2</v>
      </c>
    </row>
    <row r="160" spans="1:4">
      <c r="A160" s="18">
        <f>DATE(1971,11,1)</f>
        <v>26238</v>
      </c>
      <c r="B160">
        <v>1971</v>
      </c>
      <c r="C160">
        <v>11</v>
      </c>
      <c r="D160">
        <v>227.8</v>
      </c>
    </row>
    <row r="161" spans="1:4">
      <c r="A161" s="18">
        <f>DATE(1971,12,1)</f>
        <v>26268</v>
      </c>
      <c r="B161">
        <v>1971</v>
      </c>
      <c r="C161">
        <v>12</v>
      </c>
      <c r="D161">
        <v>228.3</v>
      </c>
    </row>
    <row r="162" spans="1:4">
      <c r="A162" s="18">
        <f>DATE(1972,1,1)</f>
        <v>26299</v>
      </c>
      <c r="B162">
        <v>1972</v>
      </c>
      <c r="C162">
        <v>1</v>
      </c>
      <c r="D162">
        <v>230.1</v>
      </c>
    </row>
    <row r="163" spans="1:4">
      <c r="A163" s="18">
        <f>DATE(1972,2,1)</f>
        <v>26330</v>
      </c>
      <c r="B163">
        <v>1972</v>
      </c>
      <c r="C163">
        <v>2</v>
      </c>
      <c r="D163">
        <v>232.3</v>
      </c>
    </row>
    <row r="164" spans="1:4">
      <c r="A164" s="18">
        <f>DATE(1972,3,1)</f>
        <v>26359</v>
      </c>
      <c r="B164">
        <v>1972</v>
      </c>
      <c r="C164">
        <v>3</v>
      </c>
      <c r="D164">
        <v>234.3</v>
      </c>
    </row>
    <row r="165" spans="1:4">
      <c r="A165" s="18">
        <f>DATE(1972,4,1)</f>
        <v>26390</v>
      </c>
      <c r="B165">
        <v>1972</v>
      </c>
      <c r="C165">
        <v>4</v>
      </c>
      <c r="D165">
        <v>235.6</v>
      </c>
    </row>
    <row r="166" spans="1:4">
      <c r="A166" s="18">
        <f>DATE(1972,5,1)</f>
        <v>26420</v>
      </c>
      <c r="B166">
        <v>1972</v>
      </c>
      <c r="C166">
        <v>5</v>
      </c>
      <c r="D166">
        <v>235.9</v>
      </c>
    </row>
    <row r="167" spans="1:4">
      <c r="A167" s="18">
        <f>DATE(1972,6,1)</f>
        <v>26451</v>
      </c>
      <c r="B167">
        <v>1972</v>
      </c>
      <c r="C167">
        <v>6</v>
      </c>
      <c r="D167">
        <v>236.6</v>
      </c>
    </row>
    <row r="168" spans="1:4">
      <c r="A168" s="18">
        <f>DATE(1972,7,1)</f>
        <v>26481</v>
      </c>
      <c r="B168">
        <v>1972</v>
      </c>
      <c r="C168">
        <v>7</v>
      </c>
      <c r="D168">
        <v>238.8</v>
      </c>
    </row>
    <row r="169" spans="1:4">
      <c r="A169" s="18">
        <f>DATE(1972,8,1)</f>
        <v>26512</v>
      </c>
      <c r="B169">
        <v>1972</v>
      </c>
      <c r="C169">
        <v>8</v>
      </c>
      <c r="D169">
        <v>240.9</v>
      </c>
    </row>
    <row r="170" spans="1:4">
      <c r="A170" s="18">
        <f>DATE(1972,9,1)</f>
        <v>26543</v>
      </c>
      <c r="B170">
        <v>1972</v>
      </c>
      <c r="C170">
        <v>9</v>
      </c>
      <c r="D170">
        <v>243.2</v>
      </c>
    </row>
    <row r="171" spans="1:4">
      <c r="A171" s="18">
        <f>DATE(1972,10,1)</f>
        <v>26573</v>
      </c>
      <c r="B171">
        <v>1972</v>
      </c>
      <c r="C171">
        <v>10</v>
      </c>
      <c r="D171">
        <v>245</v>
      </c>
    </row>
    <row r="172" spans="1:4">
      <c r="A172" s="18">
        <f>DATE(1972,11,1)</f>
        <v>26604</v>
      </c>
      <c r="B172">
        <v>1972</v>
      </c>
      <c r="C172">
        <v>11</v>
      </c>
      <c r="D172">
        <v>246.4</v>
      </c>
    </row>
    <row r="173" spans="1:4">
      <c r="A173" s="18">
        <f>DATE(1972,12,1)</f>
        <v>26634</v>
      </c>
      <c r="B173">
        <v>1972</v>
      </c>
      <c r="C173">
        <v>12</v>
      </c>
      <c r="D173">
        <v>249.2</v>
      </c>
    </row>
    <row r="174" spans="1:4">
      <c r="A174" s="18">
        <f>DATE(1973,1,1)</f>
        <v>26665</v>
      </c>
      <c r="B174">
        <v>1973</v>
      </c>
      <c r="C174">
        <v>1</v>
      </c>
      <c r="D174">
        <v>251.5</v>
      </c>
    </row>
    <row r="175" spans="1:4">
      <c r="A175" s="18">
        <f>DATE(1973,2,1)</f>
        <v>26696</v>
      </c>
      <c r="B175">
        <v>1973</v>
      </c>
      <c r="C175">
        <v>2</v>
      </c>
      <c r="D175">
        <v>252.2</v>
      </c>
    </row>
    <row r="176" spans="1:4">
      <c r="A176" s="18">
        <f>DATE(1973,3,1)</f>
        <v>26724</v>
      </c>
      <c r="B176">
        <v>1973</v>
      </c>
      <c r="C176">
        <v>3</v>
      </c>
      <c r="D176">
        <v>251.7</v>
      </c>
    </row>
    <row r="177" spans="1:4">
      <c r="A177" s="18">
        <f>DATE(1973,4,1)</f>
        <v>26755</v>
      </c>
      <c r="B177">
        <v>1973</v>
      </c>
      <c r="C177">
        <v>4</v>
      </c>
      <c r="D177">
        <v>252.7</v>
      </c>
    </row>
    <row r="178" spans="1:4">
      <c r="A178" s="18">
        <f>DATE(1973,5,1)</f>
        <v>26785</v>
      </c>
      <c r="B178">
        <v>1973</v>
      </c>
      <c r="C178">
        <v>5</v>
      </c>
      <c r="D178">
        <v>254.9</v>
      </c>
    </row>
    <row r="179" spans="1:4">
      <c r="A179" s="18">
        <f>DATE(1973,6,1)</f>
        <v>26816</v>
      </c>
      <c r="B179">
        <v>1973</v>
      </c>
      <c r="C179">
        <v>6</v>
      </c>
      <c r="D179">
        <v>256.7</v>
      </c>
    </row>
    <row r="180" spans="1:4">
      <c r="A180" s="18">
        <f>DATE(1973,7,1)</f>
        <v>26846</v>
      </c>
      <c r="B180">
        <v>1973</v>
      </c>
      <c r="C180">
        <v>7</v>
      </c>
      <c r="D180">
        <v>257.5</v>
      </c>
    </row>
    <row r="181" spans="1:4">
      <c r="A181" s="18">
        <f>DATE(1973,8,1)</f>
        <v>26877</v>
      </c>
      <c r="B181">
        <v>1973</v>
      </c>
      <c r="C181">
        <v>8</v>
      </c>
      <c r="D181">
        <v>257.7</v>
      </c>
    </row>
    <row r="182" spans="1:4">
      <c r="A182" s="18">
        <f>DATE(1973,9,1)</f>
        <v>26908</v>
      </c>
      <c r="B182">
        <v>1973</v>
      </c>
      <c r="C182">
        <v>9</v>
      </c>
      <c r="D182">
        <v>257.89999999999998</v>
      </c>
    </row>
    <row r="183" spans="1:4">
      <c r="A183" s="18">
        <f>DATE(1973,10,1)</f>
        <v>26938</v>
      </c>
      <c r="B183">
        <v>1973</v>
      </c>
      <c r="C183">
        <v>10</v>
      </c>
      <c r="D183">
        <v>259</v>
      </c>
    </row>
    <row r="184" spans="1:4">
      <c r="A184" s="18">
        <f>DATE(1973,11,1)</f>
        <v>26969</v>
      </c>
      <c r="B184">
        <v>1973</v>
      </c>
      <c r="C184">
        <v>11</v>
      </c>
      <c r="D184">
        <v>261</v>
      </c>
    </row>
    <row r="185" spans="1:4">
      <c r="A185" s="18">
        <f>DATE(1973,12,1)</f>
        <v>26999</v>
      </c>
      <c r="B185">
        <v>1973</v>
      </c>
      <c r="C185">
        <v>12</v>
      </c>
      <c r="D185">
        <v>262.89999999999998</v>
      </c>
    </row>
    <row r="186" spans="1:4">
      <c r="A186" s="18">
        <f>DATE(1974,1,1)</f>
        <v>27030</v>
      </c>
      <c r="B186">
        <v>1974</v>
      </c>
      <c r="C186">
        <v>1</v>
      </c>
      <c r="D186">
        <v>263.8</v>
      </c>
    </row>
    <row r="187" spans="1:4">
      <c r="A187" s="18">
        <f>DATE(1974,2,1)</f>
        <v>27061</v>
      </c>
      <c r="B187">
        <v>1974</v>
      </c>
      <c r="C187">
        <v>2</v>
      </c>
      <c r="D187">
        <v>265.3</v>
      </c>
    </row>
    <row r="188" spans="1:4">
      <c r="A188" s="18">
        <f>DATE(1974,3,1)</f>
        <v>27089</v>
      </c>
      <c r="B188">
        <v>1974</v>
      </c>
      <c r="C188">
        <v>3</v>
      </c>
      <c r="D188">
        <v>266.7</v>
      </c>
    </row>
    <row r="189" spans="1:4">
      <c r="A189" s="18">
        <f>DATE(1974,4,1)</f>
        <v>27120</v>
      </c>
      <c r="B189">
        <v>1974</v>
      </c>
      <c r="C189">
        <v>4</v>
      </c>
      <c r="D189">
        <v>267.2</v>
      </c>
    </row>
    <row r="190" spans="1:4">
      <c r="A190" s="18">
        <f>DATE(1974,5,1)</f>
        <v>27150</v>
      </c>
      <c r="B190">
        <v>1974</v>
      </c>
      <c r="C190">
        <v>5</v>
      </c>
      <c r="D190">
        <v>267.60000000000002</v>
      </c>
    </row>
    <row r="191" spans="1:4">
      <c r="A191" s="18">
        <f>DATE(1974,6,1)</f>
        <v>27181</v>
      </c>
      <c r="B191">
        <v>1974</v>
      </c>
      <c r="C191">
        <v>6</v>
      </c>
      <c r="D191">
        <v>268.5</v>
      </c>
    </row>
    <row r="192" spans="1:4">
      <c r="A192" s="18">
        <f>DATE(1974,7,1)</f>
        <v>27211</v>
      </c>
      <c r="B192">
        <v>1974</v>
      </c>
      <c r="C192">
        <v>7</v>
      </c>
      <c r="D192">
        <v>269.3</v>
      </c>
    </row>
    <row r="193" spans="1:4">
      <c r="A193" s="18">
        <f>DATE(1974,8,1)</f>
        <v>27242</v>
      </c>
      <c r="B193">
        <v>1974</v>
      </c>
      <c r="C193">
        <v>8</v>
      </c>
      <c r="D193">
        <v>270.10000000000002</v>
      </c>
    </row>
    <row r="194" spans="1:4">
      <c r="A194" s="18">
        <f>DATE(1974,9,1)</f>
        <v>27273</v>
      </c>
      <c r="B194">
        <v>1974</v>
      </c>
      <c r="C194">
        <v>9</v>
      </c>
      <c r="D194">
        <v>271</v>
      </c>
    </row>
    <row r="195" spans="1:4">
      <c r="A195" s="18">
        <f>DATE(1974,10,1)</f>
        <v>27303</v>
      </c>
      <c r="B195">
        <v>1974</v>
      </c>
      <c r="C195">
        <v>10</v>
      </c>
      <c r="D195">
        <v>272.3</v>
      </c>
    </row>
    <row r="196" spans="1:4">
      <c r="A196" s="18">
        <f>DATE(1974,11,1)</f>
        <v>27334</v>
      </c>
      <c r="B196">
        <v>1974</v>
      </c>
      <c r="C196">
        <v>11</v>
      </c>
      <c r="D196">
        <v>273.7</v>
      </c>
    </row>
    <row r="197" spans="1:4">
      <c r="A197" s="18">
        <f>DATE(1974,12,1)</f>
        <v>27364</v>
      </c>
      <c r="B197">
        <v>1974</v>
      </c>
      <c r="C197">
        <v>12</v>
      </c>
      <c r="D197">
        <v>274.2</v>
      </c>
    </row>
    <row r="198" spans="1:4">
      <c r="A198" s="18">
        <f>DATE(1975,1,1)</f>
        <v>27395</v>
      </c>
      <c r="B198">
        <v>1975</v>
      </c>
      <c r="C198">
        <v>1</v>
      </c>
      <c r="D198">
        <v>273.89999999999998</v>
      </c>
    </row>
    <row r="199" spans="1:4">
      <c r="A199" s="18">
        <f>DATE(1975,2,1)</f>
        <v>27426</v>
      </c>
      <c r="B199">
        <v>1975</v>
      </c>
      <c r="C199">
        <v>2</v>
      </c>
      <c r="D199">
        <v>275</v>
      </c>
    </row>
    <row r="200" spans="1:4">
      <c r="A200" s="18">
        <f>DATE(1975,3,1)</f>
        <v>27454</v>
      </c>
      <c r="B200">
        <v>1975</v>
      </c>
      <c r="C200">
        <v>3</v>
      </c>
      <c r="D200">
        <v>276.39999999999998</v>
      </c>
    </row>
    <row r="201" spans="1:4">
      <c r="A201" s="18">
        <f>DATE(1975,4,1)</f>
        <v>27485</v>
      </c>
      <c r="B201">
        <v>1975</v>
      </c>
      <c r="C201">
        <v>4</v>
      </c>
      <c r="D201">
        <v>276.2</v>
      </c>
    </row>
    <row r="202" spans="1:4">
      <c r="A202" s="18">
        <f>DATE(1975,5,1)</f>
        <v>27515</v>
      </c>
      <c r="B202">
        <v>1975</v>
      </c>
      <c r="C202">
        <v>5</v>
      </c>
      <c r="D202">
        <v>279.2</v>
      </c>
    </row>
    <row r="203" spans="1:4">
      <c r="A203" s="18">
        <f>DATE(1975,6,1)</f>
        <v>27546</v>
      </c>
      <c r="B203">
        <v>1975</v>
      </c>
      <c r="C203">
        <v>6</v>
      </c>
      <c r="D203">
        <v>282.39999999999998</v>
      </c>
    </row>
    <row r="204" spans="1:4">
      <c r="A204" s="18">
        <f>DATE(1975,7,1)</f>
        <v>27576</v>
      </c>
      <c r="B204">
        <v>1975</v>
      </c>
      <c r="C204">
        <v>7</v>
      </c>
      <c r="D204">
        <v>283.7</v>
      </c>
    </row>
    <row r="205" spans="1:4">
      <c r="A205" s="18">
        <f>DATE(1975,8,1)</f>
        <v>27607</v>
      </c>
      <c r="B205">
        <v>1975</v>
      </c>
      <c r="C205">
        <v>8</v>
      </c>
      <c r="D205">
        <v>284.10000000000002</v>
      </c>
    </row>
    <row r="206" spans="1:4">
      <c r="A206" s="18">
        <f>DATE(1975,9,1)</f>
        <v>27638</v>
      </c>
      <c r="B206">
        <v>1975</v>
      </c>
      <c r="C206">
        <v>9</v>
      </c>
      <c r="D206">
        <v>285.7</v>
      </c>
    </row>
    <row r="207" spans="1:4">
      <c r="A207" s="18">
        <f>DATE(1975,10,1)</f>
        <v>27668</v>
      </c>
      <c r="B207">
        <v>1975</v>
      </c>
      <c r="C207">
        <v>10</v>
      </c>
      <c r="D207">
        <v>285.39999999999998</v>
      </c>
    </row>
    <row r="208" spans="1:4">
      <c r="A208" s="18">
        <f>DATE(1975,11,1)</f>
        <v>27699</v>
      </c>
      <c r="B208">
        <v>1975</v>
      </c>
      <c r="C208">
        <v>11</v>
      </c>
      <c r="D208">
        <v>286.8</v>
      </c>
    </row>
    <row r="209" spans="1:4">
      <c r="A209" s="18">
        <f>DATE(1975,12,1)</f>
        <v>27729</v>
      </c>
      <c r="B209">
        <v>1975</v>
      </c>
      <c r="C209">
        <v>12</v>
      </c>
      <c r="D209">
        <v>287.10000000000002</v>
      </c>
    </row>
    <row r="210" spans="1:4">
      <c r="A210" s="18">
        <f>DATE(1976,1,1)</f>
        <v>27760</v>
      </c>
      <c r="B210">
        <v>1976</v>
      </c>
      <c r="C210">
        <v>1</v>
      </c>
      <c r="D210">
        <v>288.39999999999998</v>
      </c>
    </row>
    <row r="211" spans="1:4">
      <c r="A211" s="18">
        <f>DATE(1976,2,1)</f>
        <v>27791</v>
      </c>
      <c r="B211">
        <v>1976</v>
      </c>
      <c r="C211">
        <v>2</v>
      </c>
      <c r="D211">
        <v>290.8</v>
      </c>
    </row>
    <row r="212" spans="1:4">
      <c r="A212" s="18">
        <f>DATE(1976,3,1)</f>
        <v>27820</v>
      </c>
      <c r="B212">
        <v>1976</v>
      </c>
      <c r="C212">
        <v>3</v>
      </c>
      <c r="D212">
        <v>292.7</v>
      </c>
    </row>
    <row r="213" spans="1:4">
      <c r="A213" s="18">
        <f>DATE(1976,4,1)</f>
        <v>27851</v>
      </c>
      <c r="B213">
        <v>1976</v>
      </c>
      <c r="C213">
        <v>4</v>
      </c>
      <c r="D213">
        <v>294.7</v>
      </c>
    </row>
    <row r="214" spans="1:4">
      <c r="A214" s="18">
        <f>DATE(1976,5,1)</f>
        <v>27881</v>
      </c>
      <c r="B214">
        <v>1976</v>
      </c>
      <c r="C214">
        <v>5</v>
      </c>
      <c r="D214">
        <v>295.89999999999998</v>
      </c>
    </row>
    <row r="215" spans="1:4">
      <c r="A215" s="18">
        <f>DATE(1976,6,1)</f>
        <v>27912</v>
      </c>
      <c r="B215">
        <v>1976</v>
      </c>
      <c r="C215">
        <v>6</v>
      </c>
      <c r="D215">
        <v>296.2</v>
      </c>
    </row>
    <row r="216" spans="1:4">
      <c r="A216" s="18">
        <f>DATE(1976,7,1)</f>
        <v>27942</v>
      </c>
      <c r="B216">
        <v>1976</v>
      </c>
      <c r="C216">
        <v>7</v>
      </c>
      <c r="D216">
        <v>297.2</v>
      </c>
    </row>
    <row r="217" spans="1:4">
      <c r="A217" s="18">
        <f>DATE(1976,8,1)</f>
        <v>27973</v>
      </c>
      <c r="B217">
        <v>1976</v>
      </c>
      <c r="C217">
        <v>8</v>
      </c>
      <c r="D217">
        <v>299</v>
      </c>
    </row>
    <row r="218" spans="1:4">
      <c r="A218" s="18">
        <f>DATE(1976,9,1)</f>
        <v>28004</v>
      </c>
      <c r="B218">
        <v>1976</v>
      </c>
      <c r="C218">
        <v>9</v>
      </c>
      <c r="D218">
        <v>299.60000000000002</v>
      </c>
    </row>
    <row r="219" spans="1:4">
      <c r="A219" s="18">
        <f>DATE(1976,10,1)</f>
        <v>28034</v>
      </c>
      <c r="B219">
        <v>1976</v>
      </c>
      <c r="C219">
        <v>10</v>
      </c>
      <c r="D219">
        <v>302</v>
      </c>
    </row>
    <row r="220" spans="1:4">
      <c r="A220" s="18">
        <f>DATE(1976,11,1)</f>
        <v>28065</v>
      </c>
      <c r="B220">
        <v>1976</v>
      </c>
      <c r="C220">
        <v>11</v>
      </c>
      <c r="D220">
        <v>303.60000000000002</v>
      </c>
    </row>
    <row r="221" spans="1:4">
      <c r="A221" s="18">
        <f>DATE(1976,12,1)</f>
        <v>28095</v>
      </c>
      <c r="B221">
        <v>1976</v>
      </c>
      <c r="C221">
        <v>12</v>
      </c>
      <c r="D221">
        <v>306.2</v>
      </c>
    </row>
    <row r="222" spans="1:4">
      <c r="A222" s="18">
        <f>DATE(1977,1,1)</f>
        <v>28126</v>
      </c>
      <c r="B222">
        <v>1977</v>
      </c>
      <c r="C222">
        <v>1</v>
      </c>
      <c r="D222">
        <v>308.3</v>
      </c>
    </row>
    <row r="223" spans="1:4">
      <c r="A223" s="18">
        <f>DATE(1977,2,1)</f>
        <v>28157</v>
      </c>
      <c r="B223">
        <v>1977</v>
      </c>
      <c r="C223">
        <v>2</v>
      </c>
      <c r="D223">
        <v>311.5</v>
      </c>
    </row>
    <row r="224" spans="1:4">
      <c r="A224" s="18">
        <f>DATE(1977,3,1)</f>
        <v>28185</v>
      </c>
      <c r="B224">
        <v>1977</v>
      </c>
      <c r="C224">
        <v>3</v>
      </c>
      <c r="D224">
        <v>313.89999999999998</v>
      </c>
    </row>
    <row r="225" spans="1:4">
      <c r="A225" s="18">
        <f>DATE(1977,4,1)</f>
        <v>28216</v>
      </c>
      <c r="B225">
        <v>1977</v>
      </c>
      <c r="C225">
        <v>4</v>
      </c>
      <c r="D225">
        <v>316</v>
      </c>
    </row>
    <row r="226" spans="1:4">
      <c r="A226" s="18">
        <f>DATE(1977,5,1)</f>
        <v>28246</v>
      </c>
      <c r="B226">
        <v>1977</v>
      </c>
      <c r="C226">
        <v>5</v>
      </c>
      <c r="D226">
        <v>317.2</v>
      </c>
    </row>
    <row r="227" spans="1:4">
      <c r="A227" s="18">
        <f>DATE(1977,6,1)</f>
        <v>28277</v>
      </c>
      <c r="B227">
        <v>1977</v>
      </c>
      <c r="C227">
        <v>6</v>
      </c>
      <c r="D227">
        <v>318.8</v>
      </c>
    </row>
    <row r="228" spans="1:4">
      <c r="A228" s="18">
        <f>DATE(1977,7,1)</f>
        <v>28307</v>
      </c>
      <c r="B228">
        <v>1977</v>
      </c>
      <c r="C228">
        <v>7</v>
      </c>
      <c r="D228">
        <v>320.2</v>
      </c>
    </row>
    <row r="229" spans="1:4">
      <c r="A229" s="18">
        <f>DATE(1977,8,1)</f>
        <v>28338</v>
      </c>
      <c r="B229">
        <v>1977</v>
      </c>
      <c r="C229">
        <v>8</v>
      </c>
      <c r="D229">
        <v>322.3</v>
      </c>
    </row>
    <row r="230" spans="1:4">
      <c r="A230" s="18">
        <f>DATE(1977,9,1)</f>
        <v>28369</v>
      </c>
      <c r="B230">
        <v>1977</v>
      </c>
      <c r="C230">
        <v>9</v>
      </c>
      <c r="D230">
        <v>324.5</v>
      </c>
    </row>
    <row r="231" spans="1:4">
      <c r="A231" s="18">
        <f>DATE(1977,10,1)</f>
        <v>28399</v>
      </c>
      <c r="B231">
        <v>1977</v>
      </c>
      <c r="C231">
        <v>10</v>
      </c>
      <c r="D231">
        <v>326.39999999999998</v>
      </c>
    </row>
    <row r="232" spans="1:4">
      <c r="A232" s="18">
        <f>DATE(1977,11,1)</f>
        <v>28430</v>
      </c>
      <c r="B232">
        <v>1977</v>
      </c>
      <c r="C232">
        <v>11</v>
      </c>
      <c r="D232">
        <v>328.6</v>
      </c>
    </row>
    <row r="233" spans="1:4">
      <c r="A233" s="18">
        <f>DATE(1977,12,1)</f>
        <v>28460</v>
      </c>
      <c r="B233">
        <v>1977</v>
      </c>
      <c r="C233">
        <v>12</v>
      </c>
      <c r="D233">
        <v>330.9</v>
      </c>
    </row>
    <row r="234" spans="1:4">
      <c r="A234" s="18">
        <f>DATE(1978,1,1)</f>
        <v>28491</v>
      </c>
      <c r="B234">
        <v>1978</v>
      </c>
      <c r="C234">
        <v>1</v>
      </c>
      <c r="D234">
        <v>334.4</v>
      </c>
    </row>
    <row r="235" spans="1:4">
      <c r="A235" s="18">
        <f>DATE(1978,2,1)</f>
        <v>28522</v>
      </c>
      <c r="B235">
        <v>1978</v>
      </c>
      <c r="C235">
        <v>2</v>
      </c>
      <c r="D235">
        <v>335.3</v>
      </c>
    </row>
    <row r="236" spans="1:4">
      <c r="A236" s="18">
        <f>DATE(1978,3,1)</f>
        <v>28550</v>
      </c>
      <c r="B236">
        <v>1978</v>
      </c>
      <c r="C236">
        <v>3</v>
      </c>
      <c r="D236">
        <v>337</v>
      </c>
    </row>
    <row r="237" spans="1:4">
      <c r="A237" s="18">
        <f>DATE(1978,4,1)</f>
        <v>28581</v>
      </c>
      <c r="B237">
        <v>1978</v>
      </c>
      <c r="C237">
        <v>4</v>
      </c>
      <c r="D237">
        <v>339.9</v>
      </c>
    </row>
    <row r="238" spans="1:4">
      <c r="A238" s="18">
        <f>DATE(1978,5,1)</f>
        <v>28611</v>
      </c>
      <c r="B238">
        <v>1978</v>
      </c>
      <c r="C238">
        <v>5</v>
      </c>
      <c r="D238">
        <v>344.9</v>
      </c>
    </row>
    <row r="239" spans="1:4">
      <c r="A239" s="18">
        <f>DATE(1978,6,1)</f>
        <v>28642</v>
      </c>
      <c r="B239">
        <v>1978</v>
      </c>
      <c r="C239">
        <v>6</v>
      </c>
      <c r="D239">
        <v>346.9</v>
      </c>
    </row>
    <row r="240" spans="1:4">
      <c r="A240" s="18">
        <f>DATE(1978,7,1)</f>
        <v>28672</v>
      </c>
      <c r="B240">
        <v>1978</v>
      </c>
      <c r="C240">
        <v>7</v>
      </c>
      <c r="D240">
        <v>347.6</v>
      </c>
    </row>
    <row r="241" spans="1:4">
      <c r="A241" s="18">
        <f>DATE(1978,8,1)</f>
        <v>28703</v>
      </c>
      <c r="B241">
        <v>1978</v>
      </c>
      <c r="C241">
        <v>8</v>
      </c>
      <c r="D241">
        <v>349.6</v>
      </c>
    </row>
    <row r="242" spans="1:4">
      <c r="A242" s="18">
        <f>DATE(1978,9,1)</f>
        <v>28734</v>
      </c>
      <c r="B242">
        <v>1978</v>
      </c>
      <c r="C242">
        <v>9</v>
      </c>
      <c r="D242">
        <v>352.2</v>
      </c>
    </row>
    <row r="243" spans="1:4">
      <c r="A243" s="18">
        <f>DATE(1978,10,1)</f>
        <v>28764</v>
      </c>
      <c r="B243">
        <v>1978</v>
      </c>
      <c r="C243">
        <v>10</v>
      </c>
      <c r="D243">
        <v>353.3</v>
      </c>
    </row>
    <row r="244" spans="1:4">
      <c r="A244" s="18">
        <f>DATE(1978,11,1)</f>
        <v>28795</v>
      </c>
      <c r="B244">
        <v>1978</v>
      </c>
      <c r="C244">
        <v>11</v>
      </c>
      <c r="D244">
        <v>355.4</v>
      </c>
    </row>
    <row r="245" spans="1:4">
      <c r="A245" s="18">
        <f>DATE(1978,12,1)</f>
        <v>28825</v>
      </c>
      <c r="B245">
        <v>1978</v>
      </c>
      <c r="C245">
        <v>12</v>
      </c>
      <c r="D245">
        <v>357.3</v>
      </c>
    </row>
    <row r="246" spans="1:4">
      <c r="A246" s="18">
        <f>DATE(1979,1,1)</f>
        <v>28856</v>
      </c>
      <c r="B246">
        <v>1979</v>
      </c>
      <c r="C246">
        <v>1</v>
      </c>
      <c r="D246">
        <v>358.6</v>
      </c>
    </row>
    <row r="247" spans="1:4">
      <c r="A247" s="18">
        <f>DATE(1979,2,1)</f>
        <v>28887</v>
      </c>
      <c r="B247">
        <v>1979</v>
      </c>
      <c r="C247">
        <v>2</v>
      </c>
      <c r="D247">
        <v>359.9</v>
      </c>
    </row>
    <row r="248" spans="1:4">
      <c r="A248" s="18">
        <f>DATE(1979,3,1)</f>
        <v>28915</v>
      </c>
      <c r="B248">
        <v>1979</v>
      </c>
      <c r="C248">
        <v>3</v>
      </c>
      <c r="D248">
        <v>362.5</v>
      </c>
    </row>
    <row r="249" spans="1:4">
      <c r="A249" s="18">
        <f>DATE(1979,4,1)</f>
        <v>28946</v>
      </c>
      <c r="B249">
        <v>1979</v>
      </c>
      <c r="C249">
        <v>4</v>
      </c>
      <c r="D249">
        <v>368</v>
      </c>
    </row>
    <row r="250" spans="1:4">
      <c r="A250" s="18">
        <f>DATE(1979,5,1)</f>
        <v>28976</v>
      </c>
      <c r="B250">
        <v>1979</v>
      </c>
      <c r="C250">
        <v>5</v>
      </c>
      <c r="D250">
        <v>369.6</v>
      </c>
    </row>
    <row r="251" spans="1:4">
      <c r="A251" s="18">
        <f>DATE(1979,6,1)</f>
        <v>29007</v>
      </c>
      <c r="B251">
        <v>1979</v>
      </c>
      <c r="C251">
        <v>6</v>
      </c>
      <c r="D251">
        <v>373.4</v>
      </c>
    </row>
    <row r="252" spans="1:4">
      <c r="A252" s="18">
        <f>DATE(1979,7,1)</f>
        <v>29037</v>
      </c>
      <c r="B252">
        <v>1979</v>
      </c>
      <c r="C252">
        <v>7</v>
      </c>
      <c r="D252">
        <v>377.2</v>
      </c>
    </row>
    <row r="253" spans="1:4">
      <c r="A253" s="18">
        <f>DATE(1979,8,1)</f>
        <v>29068</v>
      </c>
      <c r="B253">
        <v>1979</v>
      </c>
      <c r="C253">
        <v>8</v>
      </c>
      <c r="D253">
        <v>378.8</v>
      </c>
    </row>
    <row r="254" spans="1:4">
      <c r="A254" s="18">
        <f>DATE(1979,9,1)</f>
        <v>29099</v>
      </c>
      <c r="B254">
        <v>1979</v>
      </c>
      <c r="C254">
        <v>9</v>
      </c>
      <c r="D254">
        <v>379.3</v>
      </c>
    </row>
    <row r="255" spans="1:4">
      <c r="A255" s="18">
        <f>DATE(1979,10,1)</f>
        <v>29129</v>
      </c>
      <c r="B255">
        <v>1979</v>
      </c>
      <c r="C255">
        <v>10</v>
      </c>
      <c r="D255">
        <v>380.8</v>
      </c>
    </row>
    <row r="256" spans="1:4">
      <c r="A256" s="18">
        <f>DATE(1979,11,1)</f>
        <v>29160</v>
      </c>
      <c r="B256">
        <v>1979</v>
      </c>
      <c r="C256">
        <v>11</v>
      </c>
      <c r="D256">
        <v>380.8</v>
      </c>
    </row>
    <row r="257" spans="1:4">
      <c r="A257" s="18">
        <f>DATE(1979,12,1)</f>
        <v>29190</v>
      </c>
      <c r="B257">
        <v>1979</v>
      </c>
      <c r="C257">
        <v>12</v>
      </c>
      <c r="D257">
        <v>381.8</v>
      </c>
    </row>
    <row r="258" spans="1:4">
      <c r="A258" s="18">
        <f>DATE(1980,1,1)</f>
        <v>29221</v>
      </c>
      <c r="B258">
        <v>1980</v>
      </c>
      <c r="C258">
        <v>1</v>
      </c>
      <c r="D258">
        <v>385.8</v>
      </c>
    </row>
    <row r="259" spans="1:4">
      <c r="A259" s="18">
        <f>DATE(1980,2,1)</f>
        <v>29252</v>
      </c>
      <c r="B259">
        <v>1980</v>
      </c>
      <c r="C259">
        <v>2</v>
      </c>
      <c r="D259">
        <v>390.1</v>
      </c>
    </row>
    <row r="260" spans="1:4">
      <c r="A260" s="18">
        <f>DATE(1980,3,1)</f>
        <v>29281</v>
      </c>
      <c r="B260">
        <v>1980</v>
      </c>
      <c r="C260">
        <v>3</v>
      </c>
      <c r="D260">
        <v>388.5</v>
      </c>
    </row>
    <row r="261" spans="1:4">
      <c r="A261" s="18">
        <f>DATE(1980,4,1)</f>
        <v>29312</v>
      </c>
      <c r="B261">
        <v>1980</v>
      </c>
      <c r="C261">
        <v>4</v>
      </c>
      <c r="D261">
        <v>383.8</v>
      </c>
    </row>
    <row r="262" spans="1:4">
      <c r="A262" s="18">
        <f>DATE(1980,5,1)</f>
        <v>29342</v>
      </c>
      <c r="B262">
        <v>1980</v>
      </c>
      <c r="C262">
        <v>5</v>
      </c>
      <c r="D262">
        <v>384.8</v>
      </c>
    </row>
    <row r="263" spans="1:4">
      <c r="A263" s="18">
        <f>DATE(1980,6,1)</f>
        <v>29373</v>
      </c>
      <c r="B263">
        <v>1980</v>
      </c>
      <c r="C263">
        <v>6</v>
      </c>
      <c r="D263">
        <v>389.1</v>
      </c>
    </row>
    <row r="264" spans="1:4">
      <c r="A264" s="18">
        <f>DATE(1980,7,1)</f>
        <v>29403</v>
      </c>
      <c r="B264">
        <v>1980</v>
      </c>
      <c r="C264">
        <v>7</v>
      </c>
      <c r="D264">
        <v>394</v>
      </c>
    </row>
    <row r="265" spans="1:4">
      <c r="A265" s="18">
        <f>DATE(1980,8,1)</f>
        <v>29434</v>
      </c>
      <c r="B265">
        <v>1980</v>
      </c>
      <c r="C265">
        <v>8</v>
      </c>
      <c r="D265">
        <v>399.2</v>
      </c>
    </row>
    <row r="266" spans="1:4">
      <c r="A266" s="18">
        <f>DATE(1980,9,1)</f>
        <v>29465</v>
      </c>
      <c r="B266">
        <v>1980</v>
      </c>
      <c r="C266">
        <v>9</v>
      </c>
      <c r="D266">
        <v>404.8</v>
      </c>
    </row>
    <row r="267" spans="1:4">
      <c r="A267" s="18">
        <f>DATE(1980,10,1)</f>
        <v>29495</v>
      </c>
      <c r="B267">
        <v>1980</v>
      </c>
      <c r="C267">
        <v>10</v>
      </c>
      <c r="D267">
        <v>409</v>
      </c>
    </row>
    <row r="268" spans="1:4">
      <c r="A268" s="18">
        <f>DATE(1980,11,1)</f>
        <v>29526</v>
      </c>
      <c r="B268">
        <v>1980</v>
      </c>
      <c r="C268">
        <v>11</v>
      </c>
      <c r="D268">
        <v>410.7</v>
      </c>
    </row>
    <row r="269" spans="1:4">
      <c r="A269" s="18">
        <f>DATE(1980,12,1)</f>
        <v>29556</v>
      </c>
      <c r="B269">
        <v>1980</v>
      </c>
      <c r="C269">
        <v>12</v>
      </c>
      <c r="D269">
        <v>408.5</v>
      </c>
    </row>
    <row r="270" spans="1:4">
      <c r="A270" s="18">
        <f>DATE(1981,1,1)</f>
        <v>29587</v>
      </c>
      <c r="B270">
        <v>1981</v>
      </c>
      <c r="C270">
        <v>1</v>
      </c>
      <c r="D270">
        <v>411.3</v>
      </c>
    </row>
    <row r="271" spans="1:4">
      <c r="A271" s="18">
        <f>DATE(1981,2,1)</f>
        <v>29618</v>
      </c>
      <c r="B271">
        <v>1981</v>
      </c>
      <c r="C271">
        <v>2</v>
      </c>
      <c r="D271">
        <v>414.8</v>
      </c>
    </row>
    <row r="272" spans="1:4">
      <c r="A272" s="18">
        <f>DATE(1981,3,1)</f>
        <v>29646</v>
      </c>
      <c r="B272">
        <v>1981</v>
      </c>
      <c r="C272">
        <v>3</v>
      </c>
      <c r="D272">
        <v>419</v>
      </c>
    </row>
    <row r="273" spans="1:4">
      <c r="A273" s="18">
        <f>DATE(1981,4,1)</f>
        <v>29677</v>
      </c>
      <c r="B273">
        <v>1981</v>
      </c>
      <c r="C273">
        <v>4</v>
      </c>
      <c r="D273">
        <v>427.4</v>
      </c>
    </row>
    <row r="274" spans="1:4">
      <c r="A274" s="18">
        <f>DATE(1981,5,1)</f>
        <v>29707</v>
      </c>
      <c r="B274">
        <v>1981</v>
      </c>
      <c r="C274">
        <v>5</v>
      </c>
      <c r="D274">
        <v>424.7</v>
      </c>
    </row>
    <row r="275" spans="1:4">
      <c r="A275" s="18">
        <f>DATE(1981,6,1)</f>
        <v>29738</v>
      </c>
      <c r="B275">
        <v>1981</v>
      </c>
      <c r="C275">
        <v>6</v>
      </c>
      <c r="D275">
        <v>425.2</v>
      </c>
    </row>
    <row r="276" spans="1:4">
      <c r="A276" s="18">
        <f>DATE(1981,7,1)</f>
        <v>29768</v>
      </c>
      <c r="B276">
        <v>1981</v>
      </c>
      <c r="C276">
        <v>7</v>
      </c>
      <c r="D276">
        <v>427</v>
      </c>
    </row>
    <row r="277" spans="1:4">
      <c r="A277" s="18">
        <f>DATE(1981,8,1)</f>
        <v>29799</v>
      </c>
      <c r="B277">
        <v>1981</v>
      </c>
      <c r="C277">
        <v>8</v>
      </c>
      <c r="D277">
        <v>426.9</v>
      </c>
    </row>
    <row r="278" spans="1:4">
      <c r="A278" s="18">
        <f>DATE(1981,9,1)</f>
        <v>29830</v>
      </c>
      <c r="B278">
        <v>1981</v>
      </c>
      <c r="C278">
        <v>9</v>
      </c>
      <c r="D278">
        <v>426.9</v>
      </c>
    </row>
    <row r="279" spans="1:4">
      <c r="A279" s="18">
        <f>DATE(1981,10,1)</f>
        <v>29860</v>
      </c>
      <c r="B279">
        <v>1981</v>
      </c>
      <c r="C279">
        <v>10</v>
      </c>
      <c r="D279">
        <v>428.4</v>
      </c>
    </row>
    <row r="280" spans="1:4">
      <c r="A280" s="18">
        <f>DATE(1981,11,1)</f>
        <v>29891</v>
      </c>
      <c r="B280">
        <v>1981</v>
      </c>
      <c r="C280">
        <v>11</v>
      </c>
      <c r="D280">
        <v>431.2</v>
      </c>
    </row>
    <row r="281" spans="1:4">
      <c r="A281" s="18">
        <f>DATE(1981,12,1)</f>
        <v>29921</v>
      </c>
      <c r="B281">
        <v>1981</v>
      </c>
      <c r="C281">
        <v>12</v>
      </c>
      <c r="D281">
        <v>436.7</v>
      </c>
    </row>
    <row r="282" spans="1:4">
      <c r="A282" s="18">
        <f>DATE(1982,1,1)</f>
        <v>29952</v>
      </c>
      <c r="B282">
        <v>1982</v>
      </c>
      <c r="C282">
        <v>1</v>
      </c>
      <c r="D282">
        <v>442.7</v>
      </c>
    </row>
    <row r="283" spans="1:4">
      <c r="A283" s="18">
        <f>DATE(1982,2,1)</f>
        <v>29983</v>
      </c>
      <c r="B283">
        <v>1982</v>
      </c>
      <c r="C283">
        <v>2</v>
      </c>
      <c r="D283">
        <v>441.9</v>
      </c>
    </row>
    <row r="284" spans="1:4">
      <c r="A284" s="18">
        <f>DATE(1982,3,1)</f>
        <v>30011</v>
      </c>
      <c r="B284">
        <v>1982</v>
      </c>
      <c r="C284">
        <v>3</v>
      </c>
      <c r="D284">
        <v>442.7</v>
      </c>
    </row>
    <row r="285" spans="1:4">
      <c r="A285" s="18">
        <f>DATE(1982,4,1)</f>
        <v>30042</v>
      </c>
      <c r="B285">
        <v>1982</v>
      </c>
      <c r="C285">
        <v>4</v>
      </c>
      <c r="D285">
        <v>447.2</v>
      </c>
    </row>
    <row r="286" spans="1:4">
      <c r="A286" s="18">
        <f>DATE(1982,5,1)</f>
        <v>30072</v>
      </c>
      <c r="B286">
        <v>1982</v>
      </c>
      <c r="C286">
        <v>5</v>
      </c>
      <c r="D286">
        <v>446.7</v>
      </c>
    </row>
    <row r="287" spans="1:4">
      <c r="A287" s="18">
        <f>DATE(1982,6,1)</f>
        <v>30103</v>
      </c>
      <c r="B287">
        <v>1982</v>
      </c>
      <c r="C287">
        <v>6</v>
      </c>
      <c r="D287">
        <v>447.5</v>
      </c>
    </row>
    <row r="288" spans="1:4">
      <c r="A288" s="18">
        <f>DATE(1982,7,1)</f>
        <v>30133</v>
      </c>
      <c r="B288">
        <v>1982</v>
      </c>
      <c r="C288">
        <v>7</v>
      </c>
      <c r="D288">
        <v>448</v>
      </c>
    </row>
    <row r="289" spans="1:4">
      <c r="A289" s="18">
        <f>DATE(1982,8,1)</f>
        <v>30164</v>
      </c>
      <c r="B289">
        <v>1982</v>
      </c>
      <c r="C289">
        <v>8</v>
      </c>
      <c r="D289">
        <v>451.4</v>
      </c>
    </row>
    <row r="290" spans="1:4">
      <c r="A290" s="18">
        <f>DATE(1982,9,1)</f>
        <v>30195</v>
      </c>
      <c r="B290">
        <v>1982</v>
      </c>
      <c r="C290">
        <v>9</v>
      </c>
      <c r="D290">
        <v>456.9</v>
      </c>
    </row>
    <row r="291" spans="1:4">
      <c r="A291" s="18">
        <f>DATE(1982,10,1)</f>
        <v>30225</v>
      </c>
      <c r="B291">
        <v>1982</v>
      </c>
      <c r="C291">
        <v>10</v>
      </c>
      <c r="D291">
        <v>464.5</v>
      </c>
    </row>
    <row r="292" spans="1:4">
      <c r="A292" s="18">
        <f>DATE(1982,11,1)</f>
        <v>30256</v>
      </c>
      <c r="B292">
        <v>1982</v>
      </c>
      <c r="C292">
        <v>11</v>
      </c>
      <c r="D292">
        <v>471.5</v>
      </c>
    </row>
    <row r="293" spans="1:4">
      <c r="A293" s="18">
        <f>DATE(1982,12,1)</f>
        <v>30286</v>
      </c>
      <c r="B293">
        <v>1982</v>
      </c>
      <c r="C293">
        <v>12</v>
      </c>
      <c r="D293">
        <v>474.8</v>
      </c>
    </row>
    <row r="294" spans="1:4">
      <c r="A294" s="18">
        <f>DATE(1983,1,1)</f>
        <v>30317</v>
      </c>
      <c r="B294">
        <v>1983</v>
      </c>
      <c r="C294">
        <v>1</v>
      </c>
      <c r="D294">
        <v>477.2</v>
      </c>
    </row>
    <row r="295" spans="1:4">
      <c r="A295" s="18">
        <f>DATE(1983,2,1)</f>
        <v>30348</v>
      </c>
      <c r="B295">
        <v>1983</v>
      </c>
      <c r="C295">
        <v>2</v>
      </c>
      <c r="D295">
        <v>484.3</v>
      </c>
    </row>
    <row r="296" spans="1:4">
      <c r="A296" s="18">
        <f>DATE(1983,3,1)</f>
        <v>30376</v>
      </c>
      <c r="B296">
        <v>1983</v>
      </c>
      <c r="C296">
        <v>3</v>
      </c>
      <c r="D296">
        <v>490.6</v>
      </c>
    </row>
    <row r="297" spans="1:4">
      <c r="A297" s="18">
        <f>DATE(1983,4,1)</f>
        <v>30407</v>
      </c>
      <c r="B297">
        <v>1983</v>
      </c>
      <c r="C297">
        <v>4</v>
      </c>
      <c r="D297">
        <v>493.2</v>
      </c>
    </row>
    <row r="298" spans="1:4">
      <c r="A298" s="18">
        <f>DATE(1983,5,1)</f>
        <v>30437</v>
      </c>
      <c r="B298">
        <v>1983</v>
      </c>
      <c r="C298">
        <v>5</v>
      </c>
      <c r="D298">
        <v>500</v>
      </c>
    </row>
    <row r="299" spans="1:4">
      <c r="A299" s="18">
        <f>DATE(1983,6,1)</f>
        <v>30468</v>
      </c>
      <c r="B299">
        <v>1983</v>
      </c>
      <c r="C299">
        <v>6</v>
      </c>
      <c r="D299">
        <v>504</v>
      </c>
    </row>
    <row r="300" spans="1:4">
      <c r="A300" s="18">
        <f>DATE(1983,7,1)</f>
        <v>30498</v>
      </c>
      <c r="B300">
        <v>1983</v>
      </c>
      <c r="C300">
        <v>7</v>
      </c>
      <c r="D300">
        <v>507.8</v>
      </c>
    </row>
    <row r="301" spans="1:4">
      <c r="A301" s="18">
        <f>DATE(1983,8,1)</f>
        <v>30529</v>
      </c>
      <c r="B301">
        <v>1983</v>
      </c>
      <c r="C301">
        <v>8</v>
      </c>
      <c r="D301">
        <v>510.5</v>
      </c>
    </row>
    <row r="302" spans="1:4">
      <c r="A302" s="18">
        <f>DATE(1983,9,1)</f>
        <v>30560</v>
      </c>
      <c r="B302">
        <v>1983</v>
      </c>
      <c r="C302">
        <v>9</v>
      </c>
      <c r="D302">
        <v>512.79999999999995</v>
      </c>
    </row>
    <row r="303" spans="1:4">
      <c r="A303" s="18">
        <f>DATE(1983,10,1)</f>
        <v>30590</v>
      </c>
      <c r="B303">
        <v>1983</v>
      </c>
      <c r="C303">
        <v>10</v>
      </c>
      <c r="D303">
        <v>517.20000000000005</v>
      </c>
    </row>
    <row r="304" spans="1:4">
      <c r="A304" s="18">
        <f>DATE(1983,11,1)</f>
        <v>30621</v>
      </c>
      <c r="B304">
        <v>1983</v>
      </c>
      <c r="C304">
        <v>11</v>
      </c>
      <c r="D304">
        <v>518.9</v>
      </c>
    </row>
    <row r="305" spans="1:4">
      <c r="A305" s="18">
        <f>DATE(1983,12,1)</f>
        <v>30651</v>
      </c>
      <c r="B305">
        <v>1983</v>
      </c>
      <c r="C305">
        <v>12</v>
      </c>
      <c r="D305">
        <v>521.4</v>
      </c>
    </row>
    <row r="306" spans="1:4">
      <c r="A306" s="18">
        <f>DATE(1984,1,1)</f>
        <v>30682</v>
      </c>
      <c r="B306">
        <v>1984</v>
      </c>
      <c r="C306">
        <v>1</v>
      </c>
      <c r="D306">
        <v>525.1</v>
      </c>
    </row>
    <row r="307" spans="1:4">
      <c r="A307" s="18">
        <f>DATE(1984,2,1)</f>
        <v>30713</v>
      </c>
      <c r="B307">
        <v>1984</v>
      </c>
      <c r="C307">
        <v>2</v>
      </c>
      <c r="D307">
        <v>527.5</v>
      </c>
    </row>
    <row r="308" spans="1:4">
      <c r="A308" s="18">
        <f>DATE(1984,3,1)</f>
        <v>30742</v>
      </c>
      <c r="B308">
        <v>1984</v>
      </c>
      <c r="C308">
        <v>3</v>
      </c>
      <c r="D308">
        <v>531.4</v>
      </c>
    </row>
    <row r="309" spans="1:4">
      <c r="A309" s="18">
        <f>DATE(1984,4,1)</f>
        <v>30773</v>
      </c>
      <c r="B309">
        <v>1984</v>
      </c>
      <c r="C309">
        <v>4</v>
      </c>
      <c r="D309">
        <v>535</v>
      </c>
    </row>
    <row r="310" spans="1:4">
      <c r="A310" s="18">
        <f>DATE(1984,5,1)</f>
        <v>30803</v>
      </c>
      <c r="B310">
        <v>1984</v>
      </c>
      <c r="C310">
        <v>5</v>
      </c>
      <c r="D310">
        <v>536.70000000000005</v>
      </c>
    </row>
    <row r="311" spans="1:4">
      <c r="A311" s="18">
        <f>DATE(1984,6,1)</f>
        <v>30834</v>
      </c>
      <c r="B311">
        <v>1984</v>
      </c>
      <c r="C311">
        <v>6</v>
      </c>
      <c r="D311">
        <v>540.20000000000005</v>
      </c>
    </row>
    <row r="312" spans="1:4">
      <c r="A312" s="18">
        <f>DATE(1984,7,1)</f>
        <v>30864</v>
      </c>
      <c r="B312">
        <v>1984</v>
      </c>
      <c r="C312">
        <v>7</v>
      </c>
      <c r="D312">
        <v>540.9</v>
      </c>
    </row>
    <row r="313" spans="1:4">
      <c r="A313" s="18">
        <f>DATE(1984,8,1)</f>
        <v>30895</v>
      </c>
      <c r="B313">
        <v>1984</v>
      </c>
      <c r="C313">
        <v>8</v>
      </c>
      <c r="D313">
        <v>541</v>
      </c>
    </row>
    <row r="314" spans="1:4">
      <c r="A314" s="18">
        <f>DATE(1984,9,1)</f>
        <v>30926</v>
      </c>
      <c r="B314">
        <v>1984</v>
      </c>
      <c r="C314">
        <v>9</v>
      </c>
      <c r="D314">
        <v>543.1</v>
      </c>
    </row>
    <row r="315" spans="1:4">
      <c r="A315" s="18">
        <f>DATE(1984,10,1)</f>
        <v>30956</v>
      </c>
      <c r="B315">
        <v>1984</v>
      </c>
      <c r="C315">
        <v>10</v>
      </c>
      <c r="D315">
        <v>543.70000000000005</v>
      </c>
    </row>
    <row r="316" spans="1:4">
      <c r="A316" s="18">
        <f>DATE(1984,11,1)</f>
        <v>30987</v>
      </c>
      <c r="B316">
        <v>1984</v>
      </c>
      <c r="C316">
        <v>11</v>
      </c>
      <c r="D316">
        <v>547.5</v>
      </c>
    </row>
    <row r="317" spans="1:4">
      <c r="A317" s="18">
        <f>DATE(1984,12,1)</f>
        <v>31017</v>
      </c>
      <c r="B317">
        <v>1984</v>
      </c>
      <c r="C317">
        <v>12</v>
      </c>
      <c r="D317">
        <v>551.6</v>
      </c>
    </row>
    <row r="318" spans="1:4">
      <c r="A318" s="18">
        <f>DATE(1985,1,1)</f>
        <v>31048</v>
      </c>
      <c r="B318">
        <v>1985</v>
      </c>
      <c r="C318">
        <v>1</v>
      </c>
      <c r="D318">
        <v>556.9</v>
      </c>
    </row>
    <row r="319" spans="1:4">
      <c r="A319" s="18">
        <f>DATE(1985,2,1)</f>
        <v>31079</v>
      </c>
      <c r="B319">
        <v>1985</v>
      </c>
      <c r="C319">
        <v>2</v>
      </c>
      <c r="D319">
        <v>563.6</v>
      </c>
    </row>
    <row r="320" spans="1:4">
      <c r="A320" s="18">
        <f>DATE(1985,3,1)</f>
        <v>31107</v>
      </c>
      <c r="B320">
        <v>1985</v>
      </c>
      <c r="C320">
        <v>3</v>
      </c>
      <c r="D320">
        <v>566.6</v>
      </c>
    </row>
    <row r="321" spans="1:4">
      <c r="A321" s="18">
        <f>DATE(1985,4,1)</f>
        <v>31138</v>
      </c>
      <c r="B321">
        <v>1985</v>
      </c>
      <c r="C321">
        <v>4</v>
      </c>
      <c r="D321">
        <v>570.4</v>
      </c>
    </row>
    <row r="322" spans="1:4">
      <c r="A322" s="18">
        <f>DATE(1985,5,1)</f>
        <v>31168</v>
      </c>
      <c r="B322">
        <v>1985</v>
      </c>
      <c r="C322">
        <v>5</v>
      </c>
      <c r="D322">
        <v>575.20000000000005</v>
      </c>
    </row>
    <row r="323" spans="1:4">
      <c r="A323" s="18">
        <f>DATE(1985,6,1)</f>
        <v>31199</v>
      </c>
      <c r="B323">
        <v>1985</v>
      </c>
      <c r="C323">
        <v>6</v>
      </c>
      <c r="D323">
        <v>582.20000000000005</v>
      </c>
    </row>
    <row r="324" spans="1:4">
      <c r="A324" s="18">
        <f>DATE(1985,7,1)</f>
        <v>31229</v>
      </c>
      <c r="B324">
        <v>1985</v>
      </c>
      <c r="C324">
        <v>7</v>
      </c>
      <c r="D324">
        <v>589.1</v>
      </c>
    </row>
    <row r="325" spans="1:4">
      <c r="A325" s="18">
        <f>DATE(1985,8,1)</f>
        <v>31260</v>
      </c>
      <c r="B325">
        <v>1985</v>
      </c>
      <c r="C325">
        <v>8</v>
      </c>
      <c r="D325">
        <v>596.20000000000005</v>
      </c>
    </row>
    <row r="326" spans="1:4">
      <c r="A326" s="18">
        <f>DATE(1985,9,1)</f>
        <v>31291</v>
      </c>
      <c r="B326">
        <v>1985</v>
      </c>
      <c r="C326">
        <v>9</v>
      </c>
      <c r="D326">
        <v>603.29999999999995</v>
      </c>
    </row>
    <row r="327" spans="1:4">
      <c r="A327" s="18">
        <f>DATE(1985,10,1)</f>
        <v>31321</v>
      </c>
      <c r="B327">
        <v>1985</v>
      </c>
      <c r="C327">
        <v>10</v>
      </c>
      <c r="D327">
        <v>607.79999999999995</v>
      </c>
    </row>
    <row r="328" spans="1:4">
      <c r="A328" s="18">
        <f>DATE(1985,11,1)</f>
        <v>31352</v>
      </c>
      <c r="B328">
        <v>1985</v>
      </c>
      <c r="C328">
        <v>11</v>
      </c>
      <c r="D328">
        <v>612.20000000000005</v>
      </c>
    </row>
    <row r="329" spans="1:4">
      <c r="A329" s="18">
        <f>DATE(1985,12,1)</f>
        <v>31382</v>
      </c>
      <c r="B329">
        <v>1985</v>
      </c>
      <c r="C329">
        <v>12</v>
      </c>
      <c r="D329">
        <v>619.79999999999995</v>
      </c>
    </row>
    <row r="330" spans="1:4">
      <c r="A330" s="18">
        <f>DATE(1986,1,1)</f>
        <v>31413</v>
      </c>
      <c r="B330">
        <v>1986</v>
      </c>
      <c r="C330">
        <v>1</v>
      </c>
      <c r="D330">
        <v>621.5</v>
      </c>
    </row>
    <row r="331" spans="1:4">
      <c r="A331" s="18">
        <f>DATE(1986,2,1)</f>
        <v>31444</v>
      </c>
      <c r="B331">
        <v>1986</v>
      </c>
      <c r="C331">
        <v>2</v>
      </c>
      <c r="D331">
        <v>625.20000000000005</v>
      </c>
    </row>
    <row r="332" spans="1:4">
      <c r="A332" s="18">
        <f>DATE(1986,3,1)</f>
        <v>31472</v>
      </c>
      <c r="B332">
        <v>1986</v>
      </c>
      <c r="C332">
        <v>3</v>
      </c>
      <c r="D332">
        <v>633.5</v>
      </c>
    </row>
    <row r="333" spans="1:4">
      <c r="A333" s="18">
        <f>DATE(1986,4,1)</f>
        <v>31503</v>
      </c>
      <c r="B333">
        <v>1986</v>
      </c>
      <c r="C333">
        <v>4</v>
      </c>
      <c r="D333">
        <v>640.9</v>
      </c>
    </row>
    <row r="334" spans="1:4">
      <c r="A334" s="18">
        <f>DATE(1986,5,1)</f>
        <v>31533</v>
      </c>
      <c r="B334">
        <v>1986</v>
      </c>
      <c r="C334">
        <v>5</v>
      </c>
      <c r="D334">
        <v>652</v>
      </c>
    </row>
    <row r="335" spans="1:4">
      <c r="A335" s="18">
        <f>DATE(1986,6,1)</f>
        <v>31564</v>
      </c>
      <c r="B335">
        <v>1986</v>
      </c>
      <c r="C335">
        <v>6</v>
      </c>
      <c r="D335">
        <v>660.6</v>
      </c>
    </row>
    <row r="336" spans="1:4">
      <c r="A336" s="18">
        <f>DATE(1986,7,1)</f>
        <v>31594</v>
      </c>
      <c r="B336">
        <v>1986</v>
      </c>
      <c r="C336">
        <v>7</v>
      </c>
      <c r="D336">
        <v>670.3</v>
      </c>
    </row>
    <row r="337" spans="1:4">
      <c r="A337" s="18">
        <f>DATE(1986,8,1)</f>
        <v>31625</v>
      </c>
      <c r="B337">
        <v>1986</v>
      </c>
      <c r="C337">
        <v>8</v>
      </c>
      <c r="D337">
        <v>678.7</v>
      </c>
    </row>
    <row r="338" spans="1:4">
      <c r="A338" s="18">
        <f>DATE(1986,9,1)</f>
        <v>31656</v>
      </c>
      <c r="B338">
        <v>1986</v>
      </c>
      <c r="C338">
        <v>9</v>
      </c>
      <c r="D338">
        <v>687.4</v>
      </c>
    </row>
    <row r="339" spans="1:4">
      <c r="A339" s="18">
        <f>DATE(1986,10,1)</f>
        <v>31686</v>
      </c>
      <c r="B339">
        <v>1986</v>
      </c>
      <c r="C339">
        <v>10</v>
      </c>
      <c r="D339">
        <v>694.9</v>
      </c>
    </row>
    <row r="340" spans="1:4">
      <c r="A340" s="18">
        <f>DATE(1986,11,1)</f>
        <v>31717</v>
      </c>
      <c r="B340">
        <v>1986</v>
      </c>
      <c r="C340">
        <v>11</v>
      </c>
      <c r="D340">
        <v>705.4</v>
      </c>
    </row>
    <row r="341" spans="1:4">
      <c r="A341" s="18">
        <f>DATE(1986,12,1)</f>
        <v>31747</v>
      </c>
      <c r="B341">
        <v>1986</v>
      </c>
      <c r="C341">
        <v>12</v>
      </c>
      <c r="D341">
        <v>724.7</v>
      </c>
    </row>
    <row r="342" spans="1:4">
      <c r="A342" s="18">
        <f>DATE(1987,1,1)</f>
        <v>31778</v>
      </c>
      <c r="B342">
        <v>1987</v>
      </c>
      <c r="C342">
        <v>1</v>
      </c>
      <c r="D342">
        <v>730.2</v>
      </c>
    </row>
    <row r="343" spans="1:4">
      <c r="A343" s="18">
        <f>DATE(1987,2,1)</f>
        <v>31809</v>
      </c>
      <c r="B343">
        <v>1987</v>
      </c>
      <c r="C343">
        <v>2</v>
      </c>
      <c r="D343">
        <v>730.7</v>
      </c>
    </row>
    <row r="344" spans="1:4">
      <c r="A344" s="18">
        <f>DATE(1987,3,1)</f>
        <v>31837</v>
      </c>
      <c r="B344">
        <v>1987</v>
      </c>
      <c r="C344">
        <v>3</v>
      </c>
      <c r="D344">
        <v>733.8</v>
      </c>
    </row>
    <row r="345" spans="1:4">
      <c r="A345" s="18">
        <f>DATE(1987,4,1)</f>
        <v>31868</v>
      </c>
      <c r="B345">
        <v>1987</v>
      </c>
      <c r="C345">
        <v>4</v>
      </c>
      <c r="D345">
        <v>743.9</v>
      </c>
    </row>
    <row r="346" spans="1:4">
      <c r="A346" s="18">
        <f>DATE(1987,5,1)</f>
        <v>31898</v>
      </c>
      <c r="B346">
        <v>1987</v>
      </c>
      <c r="C346">
        <v>5</v>
      </c>
      <c r="D346">
        <v>745.9</v>
      </c>
    </row>
    <row r="347" spans="1:4">
      <c r="A347" s="18">
        <f>DATE(1987,6,1)</f>
        <v>31929</v>
      </c>
      <c r="B347">
        <v>1987</v>
      </c>
      <c r="C347">
        <v>6</v>
      </c>
      <c r="D347">
        <v>743.2</v>
      </c>
    </row>
    <row r="348" spans="1:4">
      <c r="A348" s="18">
        <f>DATE(1987,7,1)</f>
        <v>31959</v>
      </c>
      <c r="B348">
        <v>1987</v>
      </c>
      <c r="C348">
        <v>7</v>
      </c>
      <c r="D348">
        <v>743.1</v>
      </c>
    </row>
    <row r="349" spans="1:4">
      <c r="A349" s="18">
        <f>DATE(1987,8,1)</f>
        <v>31990</v>
      </c>
      <c r="B349">
        <v>1987</v>
      </c>
      <c r="C349">
        <v>8</v>
      </c>
      <c r="D349">
        <v>744.9</v>
      </c>
    </row>
    <row r="350" spans="1:4">
      <c r="A350" s="18">
        <f>DATE(1987,9,1)</f>
        <v>32021</v>
      </c>
      <c r="B350">
        <v>1987</v>
      </c>
      <c r="C350">
        <v>9</v>
      </c>
      <c r="D350">
        <v>747.5</v>
      </c>
    </row>
    <row r="351" spans="1:4">
      <c r="A351" s="18">
        <f>DATE(1987,10,1)</f>
        <v>32051</v>
      </c>
      <c r="B351">
        <v>1987</v>
      </c>
      <c r="C351">
        <v>10</v>
      </c>
      <c r="D351">
        <v>756.2</v>
      </c>
    </row>
    <row r="352" spans="1:4">
      <c r="A352" s="18">
        <f>DATE(1987,11,1)</f>
        <v>32082</v>
      </c>
      <c r="B352">
        <v>1987</v>
      </c>
      <c r="C352">
        <v>11</v>
      </c>
      <c r="D352">
        <v>753.2</v>
      </c>
    </row>
    <row r="353" spans="1:4">
      <c r="A353" s="18">
        <f>DATE(1987,12,1)</f>
        <v>32112</v>
      </c>
      <c r="B353">
        <v>1987</v>
      </c>
      <c r="C353">
        <v>12</v>
      </c>
      <c r="D353">
        <v>750.2</v>
      </c>
    </row>
    <row r="354" spans="1:4">
      <c r="A354" s="18">
        <f>DATE(1988,1,1)</f>
        <v>32143</v>
      </c>
      <c r="B354">
        <v>1988</v>
      </c>
      <c r="C354">
        <v>1</v>
      </c>
      <c r="D354">
        <v>756.2</v>
      </c>
    </row>
    <row r="355" spans="1:4">
      <c r="A355" s="18">
        <f>DATE(1988,2,1)</f>
        <v>32174</v>
      </c>
      <c r="B355">
        <v>1988</v>
      </c>
      <c r="C355">
        <v>2</v>
      </c>
      <c r="D355">
        <v>757.8</v>
      </c>
    </row>
    <row r="356" spans="1:4">
      <c r="A356" s="18">
        <f>DATE(1988,3,1)</f>
        <v>32203</v>
      </c>
      <c r="B356">
        <v>1988</v>
      </c>
      <c r="C356">
        <v>3</v>
      </c>
      <c r="D356">
        <v>761.7</v>
      </c>
    </row>
    <row r="357" spans="1:4">
      <c r="A357" s="18">
        <f>DATE(1988,4,1)</f>
        <v>32234</v>
      </c>
      <c r="B357">
        <v>1988</v>
      </c>
      <c r="C357">
        <v>4</v>
      </c>
      <c r="D357">
        <v>768.1</v>
      </c>
    </row>
    <row r="358" spans="1:4">
      <c r="A358" s="18">
        <f>DATE(1988,5,1)</f>
        <v>32264</v>
      </c>
      <c r="B358">
        <v>1988</v>
      </c>
      <c r="C358">
        <v>5</v>
      </c>
      <c r="D358">
        <v>771.7</v>
      </c>
    </row>
    <row r="359" spans="1:4">
      <c r="A359" s="18">
        <f>DATE(1988,6,1)</f>
        <v>32295</v>
      </c>
      <c r="B359">
        <v>1988</v>
      </c>
      <c r="C359">
        <v>6</v>
      </c>
      <c r="D359">
        <v>778.4</v>
      </c>
    </row>
    <row r="360" spans="1:4">
      <c r="A360" s="18">
        <f>DATE(1988,7,1)</f>
        <v>32325</v>
      </c>
      <c r="B360">
        <v>1988</v>
      </c>
      <c r="C360">
        <v>7</v>
      </c>
      <c r="D360">
        <v>781.4</v>
      </c>
    </row>
    <row r="361" spans="1:4">
      <c r="A361" s="18">
        <f>DATE(1988,8,1)</f>
        <v>32356</v>
      </c>
      <c r="B361">
        <v>1988</v>
      </c>
      <c r="C361">
        <v>8</v>
      </c>
      <c r="D361">
        <v>783.3</v>
      </c>
    </row>
    <row r="362" spans="1:4">
      <c r="A362" s="18">
        <f>DATE(1988,9,1)</f>
        <v>32387</v>
      </c>
      <c r="B362">
        <v>1988</v>
      </c>
      <c r="C362">
        <v>9</v>
      </c>
      <c r="D362">
        <v>783.7</v>
      </c>
    </row>
    <row r="363" spans="1:4">
      <c r="A363" s="18">
        <f>DATE(1988,10,1)</f>
        <v>32417</v>
      </c>
      <c r="B363">
        <v>1988</v>
      </c>
      <c r="C363">
        <v>10</v>
      </c>
      <c r="D363">
        <v>783.3</v>
      </c>
    </row>
    <row r="364" spans="1:4">
      <c r="A364" s="18">
        <f>DATE(1988,11,1)</f>
        <v>32448</v>
      </c>
      <c r="B364">
        <v>1988</v>
      </c>
      <c r="C364">
        <v>11</v>
      </c>
      <c r="D364">
        <v>784.9</v>
      </c>
    </row>
    <row r="365" spans="1:4">
      <c r="A365" s="18">
        <f>DATE(1988,12,1)</f>
        <v>32478</v>
      </c>
      <c r="B365">
        <v>1988</v>
      </c>
      <c r="C365">
        <v>12</v>
      </c>
      <c r="D365">
        <v>786.7</v>
      </c>
    </row>
    <row r="366" spans="1:4">
      <c r="A366" s="18">
        <f>DATE(1989,1,1)</f>
        <v>32509</v>
      </c>
      <c r="B366">
        <v>1989</v>
      </c>
      <c r="C366">
        <v>1</v>
      </c>
      <c r="D366">
        <v>785.7</v>
      </c>
    </row>
    <row r="367" spans="1:4">
      <c r="A367" s="18">
        <f>DATE(1989,2,1)</f>
        <v>32540</v>
      </c>
      <c r="B367">
        <v>1989</v>
      </c>
      <c r="C367">
        <v>2</v>
      </c>
      <c r="D367">
        <v>783.8</v>
      </c>
    </row>
    <row r="368" spans="1:4">
      <c r="A368" s="18">
        <f>DATE(1989,3,1)</f>
        <v>32568</v>
      </c>
      <c r="B368">
        <v>1989</v>
      </c>
      <c r="C368">
        <v>3</v>
      </c>
      <c r="D368">
        <v>783</v>
      </c>
    </row>
    <row r="369" spans="1:4">
      <c r="A369" s="18">
        <f>DATE(1989,4,1)</f>
        <v>32599</v>
      </c>
      <c r="B369">
        <v>1989</v>
      </c>
      <c r="C369">
        <v>4</v>
      </c>
      <c r="D369">
        <v>779.2</v>
      </c>
    </row>
    <row r="370" spans="1:4">
      <c r="A370" s="18">
        <f>DATE(1989,5,1)</f>
        <v>32629</v>
      </c>
      <c r="B370">
        <v>1989</v>
      </c>
      <c r="C370">
        <v>5</v>
      </c>
      <c r="D370">
        <v>775</v>
      </c>
    </row>
    <row r="371" spans="1:4">
      <c r="A371" s="18">
        <f>DATE(1989,6,1)</f>
        <v>32660</v>
      </c>
      <c r="B371">
        <v>1989</v>
      </c>
      <c r="C371">
        <v>6</v>
      </c>
      <c r="D371">
        <v>773.5</v>
      </c>
    </row>
    <row r="372" spans="1:4">
      <c r="A372" s="18">
        <f>DATE(1989,7,1)</f>
        <v>32690</v>
      </c>
      <c r="B372">
        <v>1989</v>
      </c>
      <c r="C372">
        <v>7</v>
      </c>
      <c r="D372">
        <v>777.8</v>
      </c>
    </row>
    <row r="373" spans="1:4">
      <c r="A373" s="18">
        <f>DATE(1989,8,1)</f>
        <v>32721</v>
      </c>
      <c r="B373">
        <v>1989</v>
      </c>
      <c r="C373">
        <v>8</v>
      </c>
      <c r="D373">
        <v>779.4</v>
      </c>
    </row>
    <row r="374" spans="1:4">
      <c r="A374" s="18">
        <f>DATE(1989,9,1)</f>
        <v>32752</v>
      </c>
      <c r="B374">
        <v>1989</v>
      </c>
      <c r="C374">
        <v>9</v>
      </c>
      <c r="D374">
        <v>781</v>
      </c>
    </row>
    <row r="375" spans="1:4">
      <c r="A375" s="18">
        <f>DATE(1989,10,1)</f>
        <v>32782</v>
      </c>
      <c r="B375">
        <v>1989</v>
      </c>
      <c r="C375">
        <v>10</v>
      </c>
      <c r="D375">
        <v>786.6</v>
      </c>
    </row>
    <row r="376" spans="1:4">
      <c r="A376" s="18">
        <f>DATE(1989,11,1)</f>
        <v>32813</v>
      </c>
      <c r="B376">
        <v>1989</v>
      </c>
      <c r="C376">
        <v>11</v>
      </c>
      <c r="D376">
        <v>788</v>
      </c>
    </row>
    <row r="377" spans="1:4">
      <c r="A377" s="18">
        <f>DATE(1989,12,1)</f>
        <v>32843</v>
      </c>
      <c r="B377">
        <v>1989</v>
      </c>
      <c r="C377">
        <v>12</v>
      </c>
      <c r="D377">
        <v>792.9</v>
      </c>
    </row>
    <row r="378" spans="1:4">
      <c r="A378" s="18">
        <f>DATE(1990,1,1)</f>
        <v>32874</v>
      </c>
      <c r="B378">
        <v>1990</v>
      </c>
      <c r="C378">
        <v>1</v>
      </c>
      <c r="D378">
        <v>795.4</v>
      </c>
    </row>
    <row r="379" spans="1:4">
      <c r="A379" s="18">
        <f>DATE(1990,2,1)</f>
        <v>32905</v>
      </c>
      <c r="B379">
        <v>1990</v>
      </c>
      <c r="C379">
        <v>2</v>
      </c>
      <c r="D379">
        <v>798</v>
      </c>
    </row>
    <row r="380" spans="1:4">
      <c r="A380" s="18">
        <f>DATE(1990,3,1)</f>
        <v>32933</v>
      </c>
      <c r="B380">
        <v>1990</v>
      </c>
      <c r="C380">
        <v>3</v>
      </c>
      <c r="D380">
        <v>801.6</v>
      </c>
    </row>
    <row r="381" spans="1:4">
      <c r="A381" s="18">
        <f>DATE(1990,4,1)</f>
        <v>32964</v>
      </c>
      <c r="B381">
        <v>1990</v>
      </c>
      <c r="C381">
        <v>4</v>
      </c>
      <c r="D381">
        <v>806.2</v>
      </c>
    </row>
    <row r="382" spans="1:4">
      <c r="A382" s="18">
        <f>DATE(1990,5,1)</f>
        <v>32994</v>
      </c>
      <c r="B382">
        <v>1990</v>
      </c>
      <c r="C382">
        <v>5</v>
      </c>
      <c r="D382">
        <v>804.2</v>
      </c>
    </row>
    <row r="383" spans="1:4">
      <c r="A383" s="18">
        <f>DATE(1990,6,1)</f>
        <v>33025</v>
      </c>
      <c r="B383">
        <v>1990</v>
      </c>
      <c r="C383">
        <v>6</v>
      </c>
      <c r="D383">
        <v>808.9</v>
      </c>
    </row>
    <row r="384" spans="1:4">
      <c r="A384" s="18">
        <f>DATE(1990,7,1)</f>
        <v>33055</v>
      </c>
      <c r="B384">
        <v>1990</v>
      </c>
      <c r="C384">
        <v>7</v>
      </c>
      <c r="D384">
        <v>810</v>
      </c>
    </row>
    <row r="385" spans="1:4">
      <c r="A385" s="18">
        <f>DATE(1990,8,1)</f>
        <v>33086</v>
      </c>
      <c r="B385">
        <v>1990</v>
      </c>
      <c r="C385">
        <v>8</v>
      </c>
      <c r="D385">
        <v>815.7</v>
      </c>
    </row>
    <row r="386" spans="1:4">
      <c r="A386" s="18">
        <f>DATE(1990,9,1)</f>
        <v>33117</v>
      </c>
      <c r="B386">
        <v>1990</v>
      </c>
      <c r="C386">
        <v>9</v>
      </c>
      <c r="D386">
        <v>820</v>
      </c>
    </row>
    <row r="387" spans="1:4">
      <c r="A387" s="18">
        <f>DATE(1990,10,1)</f>
        <v>33147</v>
      </c>
      <c r="B387">
        <v>1990</v>
      </c>
      <c r="C387">
        <v>10</v>
      </c>
      <c r="D387">
        <v>819.9</v>
      </c>
    </row>
    <row r="388" spans="1:4">
      <c r="A388" s="18">
        <f>DATE(1990,11,1)</f>
        <v>33178</v>
      </c>
      <c r="B388">
        <v>1990</v>
      </c>
      <c r="C388">
        <v>11</v>
      </c>
      <c r="D388">
        <v>822.1</v>
      </c>
    </row>
    <row r="389" spans="1:4">
      <c r="A389" s="18">
        <f>DATE(1990,12,1)</f>
        <v>33208</v>
      </c>
      <c r="B389">
        <v>1990</v>
      </c>
      <c r="C389">
        <v>12</v>
      </c>
      <c r="D389">
        <v>824.7</v>
      </c>
    </row>
    <row r="390" spans="1:4">
      <c r="A390" s="18">
        <f>DATE(1991,1,1)</f>
        <v>33239</v>
      </c>
      <c r="B390">
        <v>1991</v>
      </c>
      <c r="C390">
        <v>1</v>
      </c>
      <c r="D390">
        <v>827.1</v>
      </c>
    </row>
    <row r="391" spans="1:4">
      <c r="A391" s="18">
        <f>DATE(1991,2,1)</f>
        <v>33270</v>
      </c>
      <c r="B391">
        <v>1991</v>
      </c>
      <c r="C391">
        <v>2</v>
      </c>
      <c r="D391">
        <v>832.7</v>
      </c>
    </row>
    <row r="392" spans="1:4">
      <c r="A392" s="18">
        <f>DATE(1991,3,1)</f>
        <v>33298</v>
      </c>
      <c r="B392">
        <v>1991</v>
      </c>
      <c r="C392">
        <v>3</v>
      </c>
      <c r="D392">
        <v>838.7</v>
      </c>
    </row>
    <row r="393" spans="1:4">
      <c r="A393" s="18">
        <f>DATE(1991,4,1)</f>
        <v>33329</v>
      </c>
      <c r="B393">
        <v>1991</v>
      </c>
      <c r="C393">
        <v>4</v>
      </c>
      <c r="D393">
        <v>843.1</v>
      </c>
    </row>
    <row r="394" spans="1:4">
      <c r="A394" s="18">
        <f>DATE(1991,5,1)</f>
        <v>33359</v>
      </c>
      <c r="B394">
        <v>1991</v>
      </c>
      <c r="C394">
        <v>5</v>
      </c>
      <c r="D394">
        <v>848.9</v>
      </c>
    </row>
    <row r="395" spans="1:4">
      <c r="A395" s="18">
        <f>DATE(1991,6,1)</f>
        <v>33390</v>
      </c>
      <c r="B395">
        <v>1991</v>
      </c>
      <c r="C395">
        <v>6</v>
      </c>
      <c r="D395">
        <v>856.7</v>
      </c>
    </row>
    <row r="396" spans="1:4">
      <c r="A396" s="18">
        <f>DATE(1991,7,1)</f>
        <v>33420</v>
      </c>
      <c r="B396">
        <v>1991</v>
      </c>
      <c r="C396">
        <v>7</v>
      </c>
      <c r="D396">
        <v>861.5</v>
      </c>
    </row>
    <row r="397" spans="1:4">
      <c r="A397" s="18">
        <f>DATE(1991,8,1)</f>
        <v>33451</v>
      </c>
      <c r="B397">
        <v>1991</v>
      </c>
      <c r="C397">
        <v>8</v>
      </c>
      <c r="D397">
        <v>866.7</v>
      </c>
    </row>
    <row r="398" spans="1:4">
      <c r="A398" s="18">
        <f>DATE(1991,9,1)</f>
        <v>33482</v>
      </c>
      <c r="B398">
        <v>1991</v>
      </c>
      <c r="C398">
        <v>9</v>
      </c>
      <c r="D398">
        <v>870.2</v>
      </c>
    </row>
    <row r="399" spans="1:4">
      <c r="A399" s="18">
        <f>DATE(1991,10,1)</f>
        <v>33512</v>
      </c>
      <c r="B399">
        <v>1991</v>
      </c>
      <c r="C399">
        <v>10</v>
      </c>
      <c r="D399">
        <v>878</v>
      </c>
    </row>
    <row r="400" spans="1:4">
      <c r="A400" s="18">
        <f>DATE(1991,11,1)</f>
        <v>33543</v>
      </c>
      <c r="B400">
        <v>1991</v>
      </c>
      <c r="C400">
        <v>11</v>
      </c>
      <c r="D400">
        <v>887.7</v>
      </c>
    </row>
    <row r="401" spans="1:4">
      <c r="A401" s="18">
        <f>DATE(1991,12,1)</f>
        <v>33573</v>
      </c>
      <c r="B401">
        <v>1991</v>
      </c>
      <c r="C401">
        <v>12</v>
      </c>
      <c r="D401">
        <v>896.9</v>
      </c>
    </row>
    <row r="402" spans="1:4">
      <c r="A402" s="18">
        <f>DATE(1992,1,1)</f>
        <v>33604</v>
      </c>
      <c r="B402">
        <v>1992</v>
      </c>
      <c r="C402">
        <v>1</v>
      </c>
      <c r="D402">
        <v>910.5</v>
      </c>
    </row>
    <row r="403" spans="1:4">
      <c r="A403" s="18">
        <f>DATE(1992,2,1)</f>
        <v>33635</v>
      </c>
      <c r="B403">
        <v>1992</v>
      </c>
      <c r="C403">
        <v>2</v>
      </c>
      <c r="D403">
        <v>925.3</v>
      </c>
    </row>
    <row r="404" spans="1:4">
      <c r="A404" s="18">
        <f>DATE(1992,3,1)</f>
        <v>33664</v>
      </c>
      <c r="B404">
        <v>1992</v>
      </c>
      <c r="C404">
        <v>3</v>
      </c>
      <c r="D404">
        <v>936.6</v>
      </c>
    </row>
    <row r="405" spans="1:4">
      <c r="A405" s="18">
        <f>DATE(1992,4,1)</f>
        <v>33695</v>
      </c>
      <c r="B405">
        <v>1992</v>
      </c>
      <c r="C405">
        <v>4</v>
      </c>
      <c r="D405">
        <v>943.8</v>
      </c>
    </row>
    <row r="406" spans="1:4">
      <c r="A406" s="18">
        <f>DATE(1992,5,1)</f>
        <v>33725</v>
      </c>
      <c r="B406">
        <v>1992</v>
      </c>
      <c r="C406">
        <v>5</v>
      </c>
      <c r="D406">
        <v>950.5</v>
      </c>
    </row>
    <row r="407" spans="1:4">
      <c r="A407" s="18">
        <f>DATE(1992,6,1)</f>
        <v>33756</v>
      </c>
      <c r="B407">
        <v>1992</v>
      </c>
      <c r="C407">
        <v>6</v>
      </c>
      <c r="D407">
        <v>954.4</v>
      </c>
    </row>
    <row r="408" spans="1:4">
      <c r="A408" s="18">
        <f>DATE(1992,7,1)</f>
        <v>33786</v>
      </c>
      <c r="B408">
        <v>1992</v>
      </c>
      <c r="C408">
        <v>7</v>
      </c>
      <c r="D408">
        <v>963.2</v>
      </c>
    </row>
    <row r="409" spans="1:4">
      <c r="A409" s="18">
        <f>DATE(1992,8,1)</f>
        <v>33817</v>
      </c>
      <c r="B409">
        <v>1992</v>
      </c>
      <c r="C409">
        <v>8</v>
      </c>
      <c r="D409">
        <v>973.7</v>
      </c>
    </row>
    <row r="410" spans="1:4">
      <c r="A410" s="18">
        <f>DATE(1992,9,1)</f>
        <v>33848</v>
      </c>
      <c r="B410">
        <v>1992</v>
      </c>
      <c r="C410">
        <v>9</v>
      </c>
      <c r="D410">
        <v>988</v>
      </c>
    </row>
    <row r="411" spans="1:4">
      <c r="A411" s="18">
        <f>DATE(1992,10,1)</f>
        <v>33878</v>
      </c>
      <c r="B411">
        <v>1992</v>
      </c>
      <c r="C411">
        <v>10</v>
      </c>
      <c r="D411">
        <v>1003.8</v>
      </c>
    </row>
    <row r="412" spans="1:4">
      <c r="A412" s="18">
        <f>DATE(1992,11,1)</f>
        <v>33909</v>
      </c>
      <c r="B412">
        <v>1992</v>
      </c>
      <c r="C412">
        <v>11</v>
      </c>
      <c r="D412">
        <v>1015.8</v>
      </c>
    </row>
    <row r="413" spans="1:4">
      <c r="A413" s="18">
        <f>DATE(1992,12,1)</f>
        <v>33939</v>
      </c>
      <c r="B413">
        <v>1992</v>
      </c>
      <c r="C413">
        <v>12</v>
      </c>
      <c r="D413">
        <v>1024.8</v>
      </c>
    </row>
    <row r="414" spans="1:4">
      <c r="A414" s="18">
        <f>DATE(1993,1,1)</f>
        <v>33970</v>
      </c>
      <c r="B414">
        <v>1993</v>
      </c>
      <c r="C414">
        <v>1</v>
      </c>
      <c r="D414">
        <v>1030.4000000000001</v>
      </c>
    </row>
    <row r="415" spans="1:4">
      <c r="A415" s="18">
        <f>DATE(1993,2,1)</f>
        <v>34001</v>
      </c>
      <c r="B415">
        <v>1993</v>
      </c>
      <c r="C415">
        <v>2</v>
      </c>
      <c r="D415">
        <v>1033.5999999999999</v>
      </c>
    </row>
    <row r="416" spans="1:4">
      <c r="A416" s="18">
        <f>DATE(1993,3,1)</f>
        <v>34029</v>
      </c>
      <c r="B416">
        <v>1993</v>
      </c>
      <c r="C416">
        <v>3</v>
      </c>
      <c r="D416">
        <v>1038.5999999999999</v>
      </c>
    </row>
    <row r="417" spans="1:4">
      <c r="A417" s="18">
        <f>DATE(1993,4,1)</f>
        <v>34060</v>
      </c>
      <c r="B417">
        <v>1993</v>
      </c>
      <c r="C417">
        <v>4</v>
      </c>
      <c r="D417">
        <v>1047.5999999999999</v>
      </c>
    </row>
    <row r="418" spans="1:4">
      <c r="A418" s="18">
        <f>DATE(1993,5,1)</f>
        <v>34090</v>
      </c>
      <c r="B418">
        <v>1993</v>
      </c>
      <c r="C418">
        <v>5</v>
      </c>
      <c r="D418">
        <v>1065.9000000000001</v>
      </c>
    </row>
    <row r="419" spans="1:4">
      <c r="A419" s="18">
        <f>DATE(1993,6,1)</f>
        <v>34121</v>
      </c>
      <c r="B419">
        <v>1993</v>
      </c>
      <c r="C419">
        <v>6</v>
      </c>
      <c r="D419">
        <v>1075.0999999999999</v>
      </c>
    </row>
    <row r="420" spans="1:4">
      <c r="A420" s="18">
        <f>DATE(1993,7,1)</f>
        <v>34151</v>
      </c>
      <c r="B420">
        <v>1993</v>
      </c>
      <c r="C420">
        <v>7</v>
      </c>
      <c r="D420">
        <v>1084.4000000000001</v>
      </c>
    </row>
    <row r="421" spans="1:4">
      <c r="A421" s="18">
        <f>DATE(1993,8,1)</f>
        <v>34182</v>
      </c>
      <c r="B421">
        <v>1993</v>
      </c>
      <c r="C421">
        <v>8</v>
      </c>
      <c r="D421">
        <v>1094.2</v>
      </c>
    </row>
    <row r="422" spans="1:4">
      <c r="A422" s="18">
        <f>DATE(1993,9,1)</f>
        <v>34213</v>
      </c>
      <c r="B422">
        <v>1993</v>
      </c>
      <c r="C422">
        <v>9</v>
      </c>
      <c r="D422">
        <v>1104.2</v>
      </c>
    </row>
    <row r="423" spans="1:4">
      <c r="A423" s="18">
        <f>DATE(1993,10,1)</f>
        <v>34243</v>
      </c>
      <c r="B423">
        <v>1993</v>
      </c>
      <c r="C423">
        <v>10</v>
      </c>
      <c r="D423">
        <v>1112.9000000000001</v>
      </c>
    </row>
    <row r="424" spans="1:4">
      <c r="A424" s="18">
        <f>DATE(1993,11,1)</f>
        <v>34274</v>
      </c>
      <c r="B424">
        <v>1993</v>
      </c>
      <c r="C424">
        <v>11</v>
      </c>
      <c r="D424">
        <v>1124.2</v>
      </c>
    </row>
    <row r="425" spans="1:4">
      <c r="A425" s="18">
        <f>DATE(1993,12,1)</f>
        <v>34304</v>
      </c>
      <c r="B425">
        <v>1993</v>
      </c>
      <c r="C425">
        <v>12</v>
      </c>
      <c r="D425">
        <v>1129.7</v>
      </c>
    </row>
    <row r="426" spans="1:4">
      <c r="A426" s="18">
        <f>DATE(1994,1,1)</f>
        <v>34335</v>
      </c>
      <c r="B426">
        <v>1994</v>
      </c>
      <c r="C426">
        <v>1</v>
      </c>
      <c r="D426">
        <v>1131.5999999999999</v>
      </c>
    </row>
    <row r="427" spans="1:4">
      <c r="A427" s="18">
        <f>DATE(1994,2,1)</f>
        <v>34366</v>
      </c>
      <c r="B427">
        <v>1994</v>
      </c>
      <c r="C427">
        <v>2</v>
      </c>
      <c r="D427">
        <v>1136.4000000000001</v>
      </c>
    </row>
    <row r="428" spans="1:4">
      <c r="A428" s="18">
        <f>DATE(1994,3,1)</f>
        <v>34394</v>
      </c>
      <c r="B428">
        <v>1994</v>
      </c>
      <c r="C428">
        <v>3</v>
      </c>
      <c r="D428">
        <v>1140.2</v>
      </c>
    </row>
    <row r="429" spans="1:4">
      <c r="A429" s="18">
        <f>DATE(1994,4,1)</f>
        <v>34425</v>
      </c>
      <c r="B429">
        <v>1994</v>
      </c>
      <c r="C429">
        <v>4</v>
      </c>
      <c r="D429">
        <v>1141.0999999999999</v>
      </c>
    </row>
    <row r="430" spans="1:4">
      <c r="A430" s="18">
        <f>DATE(1994,5,1)</f>
        <v>34455</v>
      </c>
      <c r="B430">
        <v>1994</v>
      </c>
      <c r="C430">
        <v>5</v>
      </c>
      <c r="D430">
        <v>1143.3</v>
      </c>
    </row>
    <row r="431" spans="1:4">
      <c r="A431" s="18">
        <f>DATE(1994,6,1)</f>
        <v>34486</v>
      </c>
      <c r="B431">
        <v>1994</v>
      </c>
      <c r="C431">
        <v>6</v>
      </c>
      <c r="D431">
        <v>1145.2</v>
      </c>
    </row>
    <row r="432" spans="1:4">
      <c r="A432" s="18">
        <f>DATE(1994,7,1)</f>
        <v>34516</v>
      </c>
      <c r="B432">
        <v>1994</v>
      </c>
      <c r="C432">
        <v>7</v>
      </c>
      <c r="D432">
        <v>1150.4000000000001</v>
      </c>
    </row>
    <row r="433" spans="1:4">
      <c r="A433" s="18">
        <f>DATE(1994,8,1)</f>
        <v>34547</v>
      </c>
      <c r="B433">
        <v>1994</v>
      </c>
      <c r="C433">
        <v>8</v>
      </c>
      <c r="D433">
        <v>1150.7</v>
      </c>
    </row>
    <row r="434" spans="1:4">
      <c r="A434" s="18">
        <f>DATE(1994,9,1)</f>
        <v>34578</v>
      </c>
      <c r="B434">
        <v>1994</v>
      </c>
      <c r="C434">
        <v>9</v>
      </c>
      <c r="D434">
        <v>1151.9000000000001</v>
      </c>
    </row>
    <row r="435" spans="1:4">
      <c r="A435" s="18">
        <f>DATE(1994,10,1)</f>
        <v>34608</v>
      </c>
      <c r="B435">
        <v>1994</v>
      </c>
      <c r="C435">
        <v>10</v>
      </c>
      <c r="D435">
        <v>1150.0999999999999</v>
      </c>
    </row>
    <row r="436" spans="1:4">
      <c r="A436" s="18">
        <f>DATE(1994,11,1)</f>
        <v>34639</v>
      </c>
      <c r="B436">
        <v>1994</v>
      </c>
      <c r="C436">
        <v>11</v>
      </c>
      <c r="D436">
        <v>1151</v>
      </c>
    </row>
    <row r="437" spans="1:4">
      <c r="A437" s="18">
        <f>DATE(1994,12,1)</f>
        <v>34669</v>
      </c>
      <c r="B437">
        <v>1994</v>
      </c>
      <c r="C437">
        <v>12</v>
      </c>
      <c r="D437">
        <v>1150.7</v>
      </c>
    </row>
    <row r="438" spans="1:4">
      <c r="A438" s="18">
        <f>DATE(1995,1,1)</f>
        <v>34700</v>
      </c>
      <c r="B438">
        <v>1995</v>
      </c>
      <c r="C438">
        <v>1</v>
      </c>
      <c r="D438">
        <v>1151.5</v>
      </c>
    </row>
    <row r="439" spans="1:4">
      <c r="A439" s="18">
        <f>DATE(1995,2,1)</f>
        <v>34731</v>
      </c>
      <c r="B439">
        <v>1995</v>
      </c>
      <c r="C439">
        <v>2</v>
      </c>
      <c r="D439">
        <v>1147.5</v>
      </c>
    </row>
    <row r="440" spans="1:4">
      <c r="A440" s="18">
        <f>DATE(1995,3,1)</f>
        <v>34759</v>
      </c>
      <c r="B440">
        <v>1995</v>
      </c>
      <c r="C440">
        <v>3</v>
      </c>
      <c r="D440">
        <v>1146.8</v>
      </c>
    </row>
    <row r="441" spans="1:4">
      <c r="A441" s="18">
        <f>DATE(1995,4,1)</f>
        <v>34790</v>
      </c>
      <c r="B441">
        <v>1995</v>
      </c>
      <c r="C441">
        <v>4</v>
      </c>
      <c r="D441">
        <v>1149.2</v>
      </c>
    </row>
    <row r="442" spans="1:4">
      <c r="A442" s="18">
        <f>DATE(1995,5,1)</f>
        <v>34820</v>
      </c>
      <c r="B442">
        <v>1995</v>
      </c>
      <c r="C442">
        <v>5</v>
      </c>
      <c r="D442">
        <v>1145.4000000000001</v>
      </c>
    </row>
    <row r="443" spans="1:4">
      <c r="A443" s="18">
        <f>DATE(1995,6,1)</f>
        <v>34851</v>
      </c>
      <c r="B443">
        <v>1995</v>
      </c>
      <c r="C443">
        <v>6</v>
      </c>
      <c r="D443">
        <v>1144.2</v>
      </c>
    </row>
    <row r="444" spans="1:4">
      <c r="A444" s="18">
        <f>DATE(1995,7,1)</f>
        <v>34881</v>
      </c>
      <c r="B444">
        <v>1995</v>
      </c>
      <c r="C444">
        <v>7</v>
      </c>
      <c r="D444">
        <v>1145.3</v>
      </c>
    </row>
    <row r="445" spans="1:4">
      <c r="A445" s="18">
        <f>DATE(1995,8,1)</f>
        <v>34912</v>
      </c>
      <c r="B445">
        <v>1995</v>
      </c>
      <c r="C445">
        <v>8</v>
      </c>
      <c r="D445">
        <v>1145.4000000000001</v>
      </c>
    </row>
    <row r="446" spans="1:4">
      <c r="A446" s="18">
        <f>DATE(1995,9,1)</f>
        <v>34943</v>
      </c>
      <c r="B446">
        <v>1995</v>
      </c>
      <c r="C446">
        <v>9</v>
      </c>
      <c r="D446">
        <v>1141.8</v>
      </c>
    </row>
    <row r="447" spans="1:4">
      <c r="A447" s="18">
        <f>DATE(1995,10,1)</f>
        <v>34973</v>
      </c>
      <c r="B447">
        <v>1995</v>
      </c>
      <c r="C447">
        <v>10</v>
      </c>
      <c r="D447">
        <v>1137.2</v>
      </c>
    </row>
    <row r="448" spans="1:4">
      <c r="A448" s="18">
        <f>DATE(1995,11,1)</f>
        <v>35004</v>
      </c>
      <c r="B448">
        <v>1995</v>
      </c>
      <c r="C448">
        <v>11</v>
      </c>
      <c r="D448">
        <v>1134.0999999999999</v>
      </c>
    </row>
    <row r="449" spans="1:4">
      <c r="A449" s="18">
        <f>DATE(1995,12,1)</f>
        <v>35034</v>
      </c>
      <c r="B449">
        <v>1995</v>
      </c>
      <c r="C449">
        <v>12</v>
      </c>
      <c r="D449">
        <v>1127.4000000000001</v>
      </c>
    </row>
    <row r="450" spans="1:4">
      <c r="A450" s="18">
        <f>DATE(1996,1,1)</f>
        <v>35065</v>
      </c>
      <c r="B450">
        <v>1996</v>
      </c>
      <c r="C450">
        <v>1</v>
      </c>
      <c r="D450">
        <v>1123.7</v>
      </c>
    </row>
    <row r="451" spans="1:4">
      <c r="A451" s="18">
        <f>DATE(1996,2,1)</f>
        <v>35096</v>
      </c>
      <c r="B451">
        <v>1996</v>
      </c>
      <c r="C451">
        <v>2</v>
      </c>
      <c r="D451">
        <v>1118.5999999999999</v>
      </c>
    </row>
    <row r="452" spans="1:4">
      <c r="A452" s="18">
        <f>DATE(1996,3,1)</f>
        <v>35125</v>
      </c>
      <c r="B452">
        <v>1996</v>
      </c>
      <c r="C452">
        <v>3</v>
      </c>
      <c r="D452">
        <v>1122.5</v>
      </c>
    </row>
    <row r="453" spans="1:4">
      <c r="A453" s="18">
        <f>DATE(1996,4,1)</f>
        <v>35156</v>
      </c>
      <c r="B453">
        <v>1996</v>
      </c>
      <c r="C453">
        <v>4</v>
      </c>
      <c r="D453">
        <v>1124.9000000000001</v>
      </c>
    </row>
    <row r="454" spans="1:4">
      <c r="A454" s="18">
        <f>DATE(1996,5,1)</f>
        <v>35186</v>
      </c>
      <c r="B454">
        <v>1996</v>
      </c>
      <c r="C454">
        <v>5</v>
      </c>
      <c r="D454">
        <v>1116.5999999999999</v>
      </c>
    </row>
    <row r="455" spans="1:4">
      <c r="A455" s="18">
        <f>DATE(1996,6,1)</f>
        <v>35217</v>
      </c>
      <c r="B455">
        <v>1996</v>
      </c>
      <c r="C455">
        <v>6</v>
      </c>
      <c r="D455">
        <v>1115.0999999999999</v>
      </c>
    </row>
    <row r="456" spans="1:4">
      <c r="A456" s="18">
        <f>DATE(1996,7,1)</f>
        <v>35247</v>
      </c>
      <c r="B456">
        <v>1996</v>
      </c>
      <c r="C456">
        <v>7</v>
      </c>
      <c r="D456">
        <v>1112.4000000000001</v>
      </c>
    </row>
    <row r="457" spans="1:4">
      <c r="A457" s="18">
        <f>DATE(1996,8,1)</f>
        <v>35278</v>
      </c>
      <c r="B457">
        <v>1996</v>
      </c>
      <c r="C457">
        <v>8</v>
      </c>
      <c r="D457">
        <v>1101.5</v>
      </c>
    </row>
    <row r="458" spans="1:4">
      <c r="A458" s="18">
        <f>DATE(1996,9,1)</f>
        <v>35309</v>
      </c>
      <c r="B458">
        <v>1996</v>
      </c>
      <c r="C458">
        <v>9</v>
      </c>
      <c r="D458">
        <v>1096</v>
      </c>
    </row>
    <row r="459" spans="1:4">
      <c r="A459" s="18">
        <f>DATE(1996,10,1)</f>
        <v>35339</v>
      </c>
      <c r="B459">
        <v>1996</v>
      </c>
      <c r="C459">
        <v>10</v>
      </c>
      <c r="D459">
        <v>1085.8</v>
      </c>
    </row>
    <row r="460" spans="1:4">
      <c r="A460" s="18">
        <f>DATE(1996,11,1)</f>
        <v>35370</v>
      </c>
      <c r="B460">
        <v>1996</v>
      </c>
      <c r="C460">
        <v>11</v>
      </c>
      <c r="D460">
        <v>1083.3</v>
      </c>
    </row>
    <row r="461" spans="1:4">
      <c r="A461" s="18">
        <f>DATE(1996,12,1)</f>
        <v>35400</v>
      </c>
      <c r="B461">
        <v>1996</v>
      </c>
      <c r="C461">
        <v>12</v>
      </c>
      <c r="D461">
        <v>1081.4000000000001</v>
      </c>
    </row>
    <row r="462" spans="1:4">
      <c r="A462" s="18">
        <f>DATE(1997,1,1)</f>
        <v>35431</v>
      </c>
      <c r="B462">
        <v>1997</v>
      </c>
      <c r="C462">
        <v>1</v>
      </c>
      <c r="D462">
        <v>1081.5</v>
      </c>
    </row>
    <row r="463" spans="1:4">
      <c r="A463" s="18">
        <f>DATE(1997,2,1)</f>
        <v>35462</v>
      </c>
      <c r="B463">
        <v>1997</v>
      </c>
      <c r="C463">
        <v>2</v>
      </c>
      <c r="D463">
        <v>1079</v>
      </c>
    </row>
    <row r="464" spans="1:4">
      <c r="A464" s="18">
        <f>DATE(1997,3,1)</f>
        <v>35490</v>
      </c>
      <c r="B464">
        <v>1997</v>
      </c>
      <c r="C464">
        <v>3</v>
      </c>
      <c r="D464">
        <v>1072.3</v>
      </c>
    </row>
    <row r="465" spans="1:4">
      <c r="A465" s="18">
        <f>DATE(1997,4,1)</f>
        <v>35521</v>
      </c>
      <c r="B465">
        <v>1997</v>
      </c>
      <c r="C465">
        <v>4</v>
      </c>
      <c r="D465">
        <v>1063.8</v>
      </c>
    </row>
    <row r="466" spans="1:4">
      <c r="A466" s="18">
        <f>DATE(1997,5,1)</f>
        <v>35551</v>
      </c>
      <c r="B466">
        <v>1997</v>
      </c>
      <c r="C466">
        <v>5</v>
      </c>
      <c r="D466">
        <v>1063.9000000000001</v>
      </c>
    </row>
    <row r="467" spans="1:4">
      <c r="A467" s="18">
        <f>DATE(1997,6,1)</f>
        <v>35582</v>
      </c>
      <c r="B467">
        <v>1997</v>
      </c>
      <c r="C467">
        <v>6</v>
      </c>
      <c r="D467">
        <v>1065.7</v>
      </c>
    </row>
    <row r="468" spans="1:4">
      <c r="A468" s="18">
        <f>DATE(1997,7,1)</f>
        <v>35612</v>
      </c>
      <c r="B468">
        <v>1997</v>
      </c>
      <c r="C468">
        <v>7</v>
      </c>
      <c r="D468">
        <v>1065.8</v>
      </c>
    </row>
    <row r="469" spans="1:4">
      <c r="A469" s="18">
        <f>DATE(1997,8,1)</f>
        <v>35643</v>
      </c>
      <c r="B469">
        <v>1997</v>
      </c>
      <c r="C469">
        <v>8</v>
      </c>
      <c r="D469">
        <v>1074.5</v>
      </c>
    </row>
    <row r="470" spans="1:4">
      <c r="A470" s="18">
        <f>DATE(1997,9,1)</f>
        <v>35674</v>
      </c>
      <c r="B470">
        <v>1997</v>
      </c>
      <c r="C470">
        <v>9</v>
      </c>
      <c r="D470">
        <v>1067.3</v>
      </c>
    </row>
    <row r="471" spans="1:4">
      <c r="A471" s="18">
        <f>DATE(1997,10,1)</f>
        <v>35704</v>
      </c>
      <c r="B471">
        <v>1997</v>
      </c>
      <c r="C471">
        <v>10</v>
      </c>
      <c r="D471">
        <v>1065.7</v>
      </c>
    </row>
    <row r="472" spans="1:4">
      <c r="A472" s="18">
        <f>DATE(1997,11,1)</f>
        <v>35735</v>
      </c>
      <c r="B472">
        <v>1997</v>
      </c>
      <c r="C472">
        <v>11</v>
      </c>
      <c r="D472">
        <v>1069.9000000000001</v>
      </c>
    </row>
    <row r="473" spans="1:4">
      <c r="A473" s="18">
        <f>DATE(1997,12,1)</f>
        <v>35765</v>
      </c>
      <c r="B473">
        <v>1997</v>
      </c>
      <c r="C473">
        <v>12</v>
      </c>
      <c r="D473">
        <v>1072.8</v>
      </c>
    </row>
    <row r="474" spans="1:4">
      <c r="A474" s="18">
        <f>DATE(1998,1,1)</f>
        <v>35796</v>
      </c>
      <c r="B474">
        <v>1998</v>
      </c>
      <c r="C474">
        <v>1</v>
      </c>
      <c r="D474">
        <v>1074.3</v>
      </c>
    </row>
    <row r="475" spans="1:4">
      <c r="A475" s="18">
        <f>DATE(1998,2,1)</f>
        <v>35827</v>
      </c>
      <c r="B475">
        <v>1998</v>
      </c>
      <c r="C475">
        <v>2</v>
      </c>
      <c r="D475">
        <v>1078.2</v>
      </c>
    </row>
    <row r="476" spans="1:4">
      <c r="A476" s="18">
        <f>DATE(1998,3,1)</f>
        <v>35855</v>
      </c>
      <c r="B476">
        <v>1998</v>
      </c>
      <c r="C476">
        <v>3</v>
      </c>
      <c r="D476">
        <v>1077.4000000000001</v>
      </c>
    </row>
    <row r="477" spans="1:4">
      <c r="A477" s="18">
        <f>DATE(1998,4,1)</f>
        <v>35886</v>
      </c>
      <c r="B477">
        <v>1998</v>
      </c>
      <c r="C477">
        <v>4</v>
      </c>
      <c r="D477">
        <v>1076.3</v>
      </c>
    </row>
    <row r="478" spans="1:4">
      <c r="A478" s="18">
        <f>DATE(1998,5,1)</f>
        <v>35916</v>
      </c>
      <c r="B478">
        <v>1998</v>
      </c>
      <c r="C478">
        <v>5</v>
      </c>
      <c r="D478">
        <v>1078.4000000000001</v>
      </c>
    </row>
    <row r="479" spans="1:4">
      <c r="A479" s="18">
        <f>DATE(1998,6,1)</f>
        <v>35947</v>
      </c>
      <c r="B479">
        <v>1998</v>
      </c>
      <c r="C479">
        <v>6</v>
      </c>
      <c r="D479">
        <v>1076.8</v>
      </c>
    </row>
    <row r="480" spans="1:4">
      <c r="A480" s="18">
        <f>DATE(1998,7,1)</f>
        <v>35977</v>
      </c>
      <c r="B480">
        <v>1998</v>
      </c>
      <c r="C480">
        <v>7</v>
      </c>
      <c r="D480">
        <v>1075.0999999999999</v>
      </c>
    </row>
    <row r="481" spans="1:4">
      <c r="A481" s="18">
        <f>DATE(1998,8,1)</f>
        <v>36008</v>
      </c>
      <c r="B481">
        <v>1998</v>
      </c>
      <c r="C481">
        <v>8</v>
      </c>
      <c r="D481">
        <v>1075</v>
      </c>
    </row>
    <row r="482" spans="1:4">
      <c r="A482" s="18">
        <f>DATE(1998,9,1)</f>
        <v>36039</v>
      </c>
      <c r="B482">
        <v>1998</v>
      </c>
      <c r="C482">
        <v>9</v>
      </c>
      <c r="D482">
        <v>1079.8</v>
      </c>
    </row>
    <row r="483" spans="1:4">
      <c r="A483" s="18">
        <f>DATE(1998,10,1)</f>
        <v>36069</v>
      </c>
      <c r="B483">
        <v>1998</v>
      </c>
      <c r="C483">
        <v>10</v>
      </c>
      <c r="D483">
        <v>1086.2</v>
      </c>
    </row>
    <row r="484" spans="1:4">
      <c r="A484" s="18">
        <f>DATE(1998,11,1)</f>
        <v>36100</v>
      </c>
      <c r="B484">
        <v>1998</v>
      </c>
      <c r="C484">
        <v>11</v>
      </c>
      <c r="D484">
        <v>1094.7</v>
      </c>
    </row>
    <row r="485" spans="1:4">
      <c r="A485" s="18">
        <f>DATE(1998,12,1)</f>
        <v>36130</v>
      </c>
      <c r="B485">
        <v>1998</v>
      </c>
      <c r="C485">
        <v>12</v>
      </c>
      <c r="D485">
        <v>1095.9000000000001</v>
      </c>
    </row>
    <row r="486" spans="1:4">
      <c r="A486" s="18">
        <f>DATE(1999,1,1)</f>
        <v>36161</v>
      </c>
      <c r="B486">
        <v>1999</v>
      </c>
      <c r="C486">
        <v>1</v>
      </c>
      <c r="D486">
        <v>1097.5999999999999</v>
      </c>
    </row>
    <row r="487" spans="1:4">
      <c r="A487" s="18">
        <f>DATE(1999,2,1)</f>
        <v>36192</v>
      </c>
      <c r="B487">
        <v>1999</v>
      </c>
      <c r="C487">
        <v>2</v>
      </c>
      <c r="D487">
        <v>1097.2</v>
      </c>
    </row>
    <row r="488" spans="1:4">
      <c r="A488" s="18">
        <f>DATE(1999,3,1)</f>
        <v>36220</v>
      </c>
      <c r="B488">
        <v>1999</v>
      </c>
      <c r="C488">
        <v>3</v>
      </c>
      <c r="D488">
        <v>1097.2</v>
      </c>
    </row>
    <row r="489" spans="1:4">
      <c r="A489" s="18">
        <f>DATE(1999,4,1)</f>
        <v>36251</v>
      </c>
      <c r="B489">
        <v>1999</v>
      </c>
      <c r="C489">
        <v>4</v>
      </c>
      <c r="D489">
        <v>1102.0999999999999</v>
      </c>
    </row>
    <row r="490" spans="1:4">
      <c r="A490" s="18">
        <f>DATE(1999,5,1)</f>
        <v>36281</v>
      </c>
      <c r="B490">
        <v>1999</v>
      </c>
      <c r="C490">
        <v>5</v>
      </c>
      <c r="D490">
        <v>1102.9000000000001</v>
      </c>
    </row>
    <row r="491" spans="1:4">
      <c r="A491" s="18">
        <f>DATE(1999,6,1)</f>
        <v>36312</v>
      </c>
      <c r="B491">
        <v>1999</v>
      </c>
      <c r="C491">
        <v>6</v>
      </c>
      <c r="D491">
        <v>1099.5999999999999</v>
      </c>
    </row>
    <row r="492" spans="1:4">
      <c r="A492" s="18">
        <f>DATE(1999,7,1)</f>
        <v>36342</v>
      </c>
      <c r="B492">
        <v>1999</v>
      </c>
      <c r="C492">
        <v>7</v>
      </c>
      <c r="D492">
        <v>1098.5999999999999</v>
      </c>
    </row>
    <row r="493" spans="1:4">
      <c r="A493" s="18">
        <f>DATE(1999,8,1)</f>
        <v>36373</v>
      </c>
      <c r="B493">
        <v>1999</v>
      </c>
      <c r="C493">
        <v>8</v>
      </c>
      <c r="D493">
        <v>1099</v>
      </c>
    </row>
    <row r="494" spans="1:4">
      <c r="A494" s="18">
        <f>DATE(1999,9,1)</f>
        <v>36404</v>
      </c>
      <c r="B494">
        <v>1999</v>
      </c>
      <c r="C494">
        <v>9</v>
      </c>
      <c r="D494">
        <v>1096.7</v>
      </c>
    </row>
    <row r="495" spans="1:4">
      <c r="A495" s="18">
        <f>DATE(1999,10,1)</f>
        <v>36434</v>
      </c>
      <c r="B495">
        <v>1999</v>
      </c>
      <c r="C495">
        <v>10</v>
      </c>
      <c r="D495">
        <v>1102.7</v>
      </c>
    </row>
    <row r="496" spans="1:4">
      <c r="A496" s="18">
        <f>DATE(1999,11,1)</f>
        <v>36465</v>
      </c>
      <c r="B496">
        <v>1999</v>
      </c>
      <c r="C496">
        <v>11</v>
      </c>
      <c r="D496">
        <v>1111.5</v>
      </c>
    </row>
    <row r="497" spans="1:4">
      <c r="A497" s="18">
        <f>DATE(1999,12,1)</f>
        <v>36495</v>
      </c>
      <c r="B497">
        <v>1999</v>
      </c>
      <c r="C497">
        <v>12</v>
      </c>
      <c r="D497">
        <v>1123</v>
      </c>
    </row>
    <row r="498" spans="1:4">
      <c r="A498" s="18">
        <f>DATE(2000,1,1)</f>
        <v>36526</v>
      </c>
      <c r="B498">
        <v>2000</v>
      </c>
      <c r="C498">
        <v>1</v>
      </c>
      <c r="D498">
        <v>1121.5</v>
      </c>
    </row>
    <row r="499" spans="1:4">
      <c r="A499" s="18">
        <f>DATE(2000,2,1)</f>
        <v>36557</v>
      </c>
      <c r="B499">
        <v>2000</v>
      </c>
      <c r="C499">
        <v>2</v>
      </c>
      <c r="D499">
        <v>1108.8</v>
      </c>
    </row>
    <row r="500" spans="1:4">
      <c r="A500" s="18">
        <f>DATE(2000,3,1)</f>
        <v>36586</v>
      </c>
      <c r="B500">
        <v>2000</v>
      </c>
      <c r="C500">
        <v>3</v>
      </c>
      <c r="D500">
        <v>1107.5999999999999</v>
      </c>
    </row>
    <row r="501" spans="1:4">
      <c r="A501" s="18">
        <f>DATE(2000,4,1)</f>
        <v>36617</v>
      </c>
      <c r="B501">
        <v>2000</v>
      </c>
      <c r="C501">
        <v>4</v>
      </c>
      <c r="D501">
        <v>1113.7</v>
      </c>
    </row>
    <row r="502" spans="1:4">
      <c r="A502" s="18">
        <f>DATE(2000,5,1)</f>
        <v>36647</v>
      </c>
      <c r="B502">
        <v>2000</v>
      </c>
      <c r="C502">
        <v>5</v>
      </c>
      <c r="D502">
        <v>1105.9000000000001</v>
      </c>
    </row>
    <row r="503" spans="1:4">
      <c r="A503" s="18">
        <f>DATE(2000,6,1)</f>
        <v>36678</v>
      </c>
      <c r="B503">
        <v>2000</v>
      </c>
      <c r="C503">
        <v>6</v>
      </c>
      <c r="D503">
        <v>1103.5</v>
      </c>
    </row>
    <row r="504" spans="1:4">
      <c r="A504" s="18">
        <f>DATE(2000,7,1)</f>
        <v>36708</v>
      </c>
      <c r="B504">
        <v>2000</v>
      </c>
      <c r="C504">
        <v>7</v>
      </c>
      <c r="D504">
        <v>1103</v>
      </c>
    </row>
    <row r="505" spans="1:4">
      <c r="A505" s="18">
        <f>DATE(2000,8,1)</f>
        <v>36739</v>
      </c>
      <c r="B505">
        <v>2000</v>
      </c>
      <c r="C505">
        <v>8</v>
      </c>
      <c r="D505">
        <v>1100.4000000000001</v>
      </c>
    </row>
    <row r="506" spans="1:4">
      <c r="A506" s="18">
        <f>DATE(2000,9,1)</f>
        <v>36770</v>
      </c>
      <c r="B506">
        <v>2000</v>
      </c>
      <c r="C506">
        <v>9</v>
      </c>
      <c r="D506">
        <v>1099.7</v>
      </c>
    </row>
    <row r="507" spans="1:4">
      <c r="A507" s="18">
        <f>DATE(2000,10,1)</f>
        <v>36800</v>
      </c>
      <c r="B507">
        <v>2000</v>
      </c>
      <c r="C507">
        <v>10</v>
      </c>
      <c r="D507">
        <v>1098.8</v>
      </c>
    </row>
    <row r="508" spans="1:4">
      <c r="A508" s="18">
        <f>DATE(2000,11,1)</f>
        <v>36831</v>
      </c>
      <c r="B508">
        <v>2000</v>
      </c>
      <c r="C508">
        <v>11</v>
      </c>
      <c r="D508">
        <v>1092.4000000000001</v>
      </c>
    </row>
    <row r="509" spans="1:4">
      <c r="A509" s="18">
        <f>DATE(2000,12,1)</f>
        <v>36861</v>
      </c>
      <c r="B509">
        <v>2000</v>
      </c>
      <c r="C509">
        <v>12</v>
      </c>
      <c r="D509">
        <v>1087.7</v>
      </c>
    </row>
    <row r="510" spans="1:4">
      <c r="A510" s="18">
        <f>DATE(2001,1,1)</f>
        <v>36892</v>
      </c>
      <c r="B510">
        <v>2001</v>
      </c>
      <c r="C510">
        <v>1</v>
      </c>
      <c r="D510">
        <v>1096.8</v>
      </c>
    </row>
    <row r="511" spans="1:4">
      <c r="A511" s="18">
        <f>DATE(2001,2,1)</f>
        <v>36923</v>
      </c>
      <c r="B511">
        <v>2001</v>
      </c>
      <c r="C511">
        <v>2</v>
      </c>
      <c r="D511">
        <v>1100.8</v>
      </c>
    </row>
    <row r="512" spans="1:4">
      <c r="A512" s="18">
        <f>DATE(2001,3,1)</f>
        <v>36951</v>
      </c>
      <c r="B512">
        <v>2001</v>
      </c>
      <c r="C512">
        <v>3</v>
      </c>
      <c r="D512">
        <v>1108.7</v>
      </c>
    </row>
    <row r="513" spans="1:4">
      <c r="A513" s="18">
        <f>DATE(2001,4,1)</f>
        <v>36982</v>
      </c>
      <c r="B513">
        <v>2001</v>
      </c>
      <c r="C513">
        <v>4</v>
      </c>
      <c r="D513">
        <v>1115.3</v>
      </c>
    </row>
    <row r="514" spans="1:4">
      <c r="A514" s="18">
        <f>DATE(2001,5,1)</f>
        <v>37012</v>
      </c>
      <c r="B514">
        <v>2001</v>
      </c>
      <c r="C514">
        <v>5</v>
      </c>
      <c r="D514">
        <v>1119.9000000000001</v>
      </c>
    </row>
    <row r="515" spans="1:4">
      <c r="A515" s="18">
        <f>DATE(2001,6,1)</f>
        <v>37043</v>
      </c>
      <c r="B515">
        <v>2001</v>
      </c>
      <c r="C515">
        <v>6</v>
      </c>
      <c r="D515">
        <v>1126.7</v>
      </c>
    </row>
    <row r="516" spans="1:4">
      <c r="A516" s="18">
        <f>DATE(2001,7,1)</f>
        <v>37073</v>
      </c>
      <c r="B516">
        <v>2001</v>
      </c>
      <c r="C516">
        <v>7</v>
      </c>
      <c r="D516">
        <v>1139.5999999999999</v>
      </c>
    </row>
    <row r="517" spans="1:4">
      <c r="A517" s="18">
        <f>DATE(2001,8,1)</f>
        <v>37104</v>
      </c>
      <c r="B517">
        <v>2001</v>
      </c>
      <c r="C517">
        <v>8</v>
      </c>
      <c r="D517">
        <v>1150.3</v>
      </c>
    </row>
    <row r="518" spans="1:4">
      <c r="A518" s="18">
        <f>DATE(2001,9,1)</f>
        <v>37135</v>
      </c>
      <c r="B518">
        <v>2001</v>
      </c>
      <c r="C518">
        <v>9</v>
      </c>
      <c r="D518">
        <v>1205.2</v>
      </c>
    </row>
    <row r="519" spans="1:4">
      <c r="A519" s="18">
        <f>DATE(2001,10,1)</f>
        <v>37165</v>
      </c>
      <c r="B519">
        <v>2001</v>
      </c>
      <c r="C519">
        <v>10</v>
      </c>
      <c r="D519">
        <v>1166.3</v>
      </c>
    </row>
    <row r="520" spans="1:4">
      <c r="A520" s="18">
        <f>DATE(2001,11,1)</f>
        <v>37196</v>
      </c>
      <c r="B520">
        <v>2001</v>
      </c>
      <c r="C520">
        <v>11</v>
      </c>
      <c r="D520">
        <v>1171.4000000000001</v>
      </c>
    </row>
    <row r="521" spans="1:4">
      <c r="A521" s="18">
        <f>DATE(2001,12,1)</f>
        <v>37226</v>
      </c>
      <c r="B521">
        <v>2001</v>
      </c>
      <c r="C521">
        <v>12</v>
      </c>
      <c r="D521">
        <v>1182</v>
      </c>
    </row>
    <row r="522" spans="1:4">
      <c r="A522" s="18">
        <f>DATE(2002,1,1)</f>
        <v>37257</v>
      </c>
      <c r="B522">
        <v>2002</v>
      </c>
      <c r="C522">
        <v>1</v>
      </c>
      <c r="D522">
        <v>1189.9000000000001</v>
      </c>
    </row>
    <row r="523" spans="1:4">
      <c r="A523" s="18">
        <f>DATE(2002,2,1)</f>
        <v>37288</v>
      </c>
      <c r="B523">
        <v>2002</v>
      </c>
      <c r="C523">
        <v>2</v>
      </c>
      <c r="D523">
        <v>1189.5</v>
      </c>
    </row>
    <row r="524" spans="1:4">
      <c r="A524" s="18">
        <f>DATE(2002,3,1)</f>
        <v>37316</v>
      </c>
      <c r="B524">
        <v>2002</v>
      </c>
      <c r="C524">
        <v>3</v>
      </c>
      <c r="D524">
        <v>1191.3</v>
      </c>
    </row>
    <row r="525" spans="1:4">
      <c r="A525" s="18">
        <f>DATE(2002,4,1)</f>
        <v>37347</v>
      </c>
      <c r="B525">
        <v>2002</v>
      </c>
      <c r="C525">
        <v>4</v>
      </c>
      <c r="D525">
        <v>1185.7</v>
      </c>
    </row>
    <row r="526" spans="1:4">
      <c r="A526" s="18">
        <f>DATE(2002,5,1)</f>
        <v>37377</v>
      </c>
      <c r="B526">
        <v>2002</v>
      </c>
      <c r="C526">
        <v>5</v>
      </c>
      <c r="D526">
        <v>1190.2</v>
      </c>
    </row>
    <row r="527" spans="1:4">
      <c r="A527" s="18">
        <f>DATE(2002,6,1)</f>
        <v>37408</v>
      </c>
      <c r="B527">
        <v>2002</v>
      </c>
      <c r="C527">
        <v>6</v>
      </c>
      <c r="D527">
        <v>1192.7</v>
      </c>
    </row>
    <row r="528" spans="1:4">
      <c r="A528" s="18">
        <f>DATE(2002,7,1)</f>
        <v>37438</v>
      </c>
      <c r="B528">
        <v>2002</v>
      </c>
      <c r="C528">
        <v>7</v>
      </c>
      <c r="D528">
        <v>1199.9000000000001</v>
      </c>
    </row>
    <row r="529" spans="1:4">
      <c r="A529" s="18">
        <f>DATE(2002,8,1)</f>
        <v>37469</v>
      </c>
      <c r="B529">
        <v>2002</v>
      </c>
      <c r="C529">
        <v>8</v>
      </c>
      <c r="D529">
        <v>1186.7</v>
      </c>
    </row>
    <row r="530" spans="1:4">
      <c r="A530" s="18">
        <f>DATE(2002,9,1)</f>
        <v>37500</v>
      </c>
      <c r="B530">
        <v>2002</v>
      </c>
      <c r="C530">
        <v>9</v>
      </c>
      <c r="D530">
        <v>1195.9000000000001</v>
      </c>
    </row>
    <row r="531" spans="1:4">
      <c r="A531" s="18">
        <f>DATE(2002,10,1)</f>
        <v>37530</v>
      </c>
      <c r="B531">
        <v>2002</v>
      </c>
      <c r="C531">
        <v>10</v>
      </c>
      <c r="D531">
        <v>1204.3</v>
      </c>
    </row>
    <row r="532" spans="1:4">
      <c r="A532" s="18">
        <f>DATE(2002,11,1)</f>
        <v>37561</v>
      </c>
      <c r="B532">
        <v>2002</v>
      </c>
      <c r="C532">
        <v>11</v>
      </c>
      <c r="D532">
        <v>1209.0999999999999</v>
      </c>
    </row>
    <row r="533" spans="1:4">
      <c r="A533" s="18">
        <f>DATE(2002,12,1)</f>
        <v>37591</v>
      </c>
      <c r="B533">
        <v>2002</v>
      </c>
      <c r="C533">
        <v>12</v>
      </c>
      <c r="D533">
        <v>1219.5</v>
      </c>
    </row>
    <row r="534" spans="1:4">
      <c r="A534" s="18">
        <f>DATE(2003,1,1)</f>
        <v>37622</v>
      </c>
      <c r="B534">
        <v>2003</v>
      </c>
      <c r="C534">
        <v>1</v>
      </c>
      <c r="D534">
        <v>1226.2</v>
      </c>
    </row>
    <row r="535" spans="1:4">
      <c r="A535" s="18">
        <f>DATE(2003,2,1)</f>
        <v>37653</v>
      </c>
      <c r="B535">
        <v>2003</v>
      </c>
      <c r="C535">
        <v>2</v>
      </c>
      <c r="D535">
        <v>1237</v>
      </c>
    </row>
    <row r="536" spans="1:4">
      <c r="A536" s="18">
        <f>DATE(2003,3,1)</f>
        <v>37681</v>
      </c>
      <c r="B536">
        <v>2003</v>
      </c>
      <c r="C536">
        <v>3</v>
      </c>
      <c r="D536">
        <v>1237.3</v>
      </c>
    </row>
    <row r="537" spans="1:4">
      <c r="A537" s="18">
        <f>DATE(2003,4,1)</f>
        <v>37712</v>
      </c>
      <c r="B537">
        <v>2003</v>
      </c>
      <c r="C537">
        <v>4</v>
      </c>
      <c r="D537">
        <v>1248.3</v>
      </c>
    </row>
    <row r="538" spans="1:4">
      <c r="A538" s="18">
        <f>DATE(2003,5,1)</f>
        <v>37742</v>
      </c>
      <c r="B538">
        <v>2003</v>
      </c>
      <c r="C538">
        <v>5</v>
      </c>
      <c r="D538">
        <v>1269.7</v>
      </c>
    </row>
    <row r="539" spans="1:4">
      <c r="A539" s="18">
        <f>DATE(2003,6,1)</f>
        <v>37773</v>
      </c>
      <c r="B539">
        <v>2003</v>
      </c>
      <c r="C539">
        <v>6</v>
      </c>
      <c r="D539">
        <v>1281</v>
      </c>
    </row>
    <row r="540" spans="1:4">
      <c r="A540" s="18">
        <f>DATE(2003,7,1)</f>
        <v>37803</v>
      </c>
      <c r="B540">
        <v>2003</v>
      </c>
      <c r="C540">
        <v>7</v>
      </c>
      <c r="D540">
        <v>1288.5999999999999</v>
      </c>
    </row>
    <row r="541" spans="1:4">
      <c r="A541" s="18">
        <f>DATE(2003,8,1)</f>
        <v>37834</v>
      </c>
      <c r="B541">
        <v>2003</v>
      </c>
      <c r="C541">
        <v>8</v>
      </c>
      <c r="D541">
        <v>1295.2</v>
      </c>
    </row>
    <row r="542" spans="1:4">
      <c r="A542" s="18">
        <f>DATE(2003,9,1)</f>
        <v>37865</v>
      </c>
      <c r="B542">
        <v>2003</v>
      </c>
      <c r="C542">
        <v>9</v>
      </c>
      <c r="D542">
        <v>1298.0999999999999</v>
      </c>
    </row>
    <row r="543" spans="1:4">
      <c r="A543" s="18">
        <f>DATE(2003,10,1)</f>
        <v>37895</v>
      </c>
      <c r="B543">
        <v>2003</v>
      </c>
      <c r="C543">
        <v>10</v>
      </c>
      <c r="D543">
        <v>1297.9000000000001</v>
      </c>
    </row>
    <row r="544" spans="1:4">
      <c r="A544" s="18">
        <f>DATE(2003,11,1)</f>
        <v>37926</v>
      </c>
      <c r="B544">
        <v>2003</v>
      </c>
      <c r="C544">
        <v>11</v>
      </c>
      <c r="D544">
        <v>1297.5</v>
      </c>
    </row>
    <row r="545" spans="1:4">
      <c r="A545" s="18">
        <f>DATE(2003,12,1)</f>
        <v>37956</v>
      </c>
      <c r="B545">
        <v>2003</v>
      </c>
      <c r="C545">
        <v>12</v>
      </c>
      <c r="D545">
        <v>1305.5</v>
      </c>
    </row>
    <row r="546" spans="1:4">
      <c r="A546" s="18">
        <f>DATE(2004,1,1)</f>
        <v>37987</v>
      </c>
      <c r="B546">
        <v>2004</v>
      </c>
      <c r="C546">
        <v>1</v>
      </c>
      <c r="D546">
        <v>1305.3</v>
      </c>
    </row>
    <row r="547" spans="1:4">
      <c r="A547" s="18">
        <f>DATE(2004,2,1)</f>
        <v>38018</v>
      </c>
      <c r="B547">
        <v>2004</v>
      </c>
      <c r="C547">
        <v>2</v>
      </c>
      <c r="D547">
        <v>1319.1</v>
      </c>
    </row>
    <row r="548" spans="1:4">
      <c r="A548" s="18">
        <f>DATE(2004,3,1)</f>
        <v>38047</v>
      </c>
      <c r="B548">
        <v>2004</v>
      </c>
      <c r="C548">
        <v>3</v>
      </c>
      <c r="D548">
        <v>1328.2</v>
      </c>
    </row>
    <row r="549" spans="1:4">
      <c r="A549" s="18">
        <f>DATE(2004,4,1)</f>
        <v>38078</v>
      </c>
      <c r="B549">
        <v>2004</v>
      </c>
      <c r="C549">
        <v>4</v>
      </c>
      <c r="D549">
        <v>1332.2</v>
      </c>
    </row>
    <row r="550" spans="1:4">
      <c r="A550" s="18">
        <f>DATE(2004,5,1)</f>
        <v>38108</v>
      </c>
      <c r="B550">
        <v>2004</v>
      </c>
      <c r="C550">
        <v>5</v>
      </c>
      <c r="D550">
        <v>1333.8</v>
      </c>
    </row>
    <row r="551" spans="1:4">
      <c r="A551" s="18">
        <f>DATE(2004,6,1)</f>
        <v>38139</v>
      </c>
      <c r="B551">
        <v>2004</v>
      </c>
      <c r="C551">
        <v>6</v>
      </c>
      <c r="D551">
        <v>1343.7</v>
      </c>
    </row>
    <row r="552" spans="1:4">
      <c r="A552" s="18">
        <f>DATE(2004,7,1)</f>
        <v>38169</v>
      </c>
      <c r="B552">
        <v>2004</v>
      </c>
      <c r="C552">
        <v>7</v>
      </c>
      <c r="D552">
        <v>1341.9</v>
      </c>
    </row>
    <row r="553" spans="1:4">
      <c r="A553" s="18">
        <f>DATE(2004,8,1)</f>
        <v>38200</v>
      </c>
      <c r="B553">
        <v>2004</v>
      </c>
      <c r="C553">
        <v>8</v>
      </c>
      <c r="D553">
        <v>1354.6</v>
      </c>
    </row>
    <row r="554" spans="1:4">
      <c r="A554" s="18">
        <f>DATE(2004,9,1)</f>
        <v>38231</v>
      </c>
      <c r="B554">
        <v>2004</v>
      </c>
      <c r="C554">
        <v>9</v>
      </c>
      <c r="D554">
        <v>1363</v>
      </c>
    </row>
    <row r="555" spans="1:4">
      <c r="A555" s="18">
        <f>DATE(2004,10,1)</f>
        <v>38261</v>
      </c>
      <c r="B555">
        <v>2004</v>
      </c>
      <c r="C555">
        <v>10</v>
      </c>
      <c r="D555">
        <v>1361.4</v>
      </c>
    </row>
    <row r="556" spans="1:4">
      <c r="A556" s="18">
        <f>DATE(2004,11,1)</f>
        <v>38292</v>
      </c>
      <c r="B556">
        <v>2004</v>
      </c>
      <c r="C556">
        <v>11</v>
      </c>
      <c r="D556">
        <v>1374.9</v>
      </c>
    </row>
    <row r="557" spans="1:4">
      <c r="A557" s="18">
        <f>DATE(2004,12,1)</f>
        <v>38322</v>
      </c>
      <c r="B557">
        <v>2004</v>
      </c>
      <c r="C557">
        <v>12</v>
      </c>
      <c r="D557">
        <v>1375.2</v>
      </c>
    </row>
    <row r="558" spans="1:4">
      <c r="A558" s="18">
        <f>DATE(2005,1,1)</f>
        <v>38353</v>
      </c>
      <c r="B558">
        <v>2005</v>
      </c>
      <c r="C558">
        <v>1</v>
      </c>
      <c r="D558">
        <v>1365.4</v>
      </c>
    </row>
    <row r="559" spans="1:4">
      <c r="A559" s="18">
        <f>DATE(2005,2,1)</f>
        <v>38384</v>
      </c>
      <c r="B559">
        <v>2005</v>
      </c>
      <c r="C559">
        <v>2</v>
      </c>
      <c r="D559">
        <v>1368.7</v>
      </c>
    </row>
    <row r="560" spans="1:4">
      <c r="A560" s="18">
        <f>DATE(2005,3,1)</f>
        <v>38412</v>
      </c>
      <c r="B560">
        <v>2005</v>
      </c>
      <c r="C560">
        <v>3</v>
      </c>
      <c r="D560">
        <v>1371.4</v>
      </c>
    </row>
    <row r="561" spans="1:4">
      <c r="A561" s="18">
        <f>DATE(2005,4,1)</f>
        <v>38443</v>
      </c>
      <c r="B561">
        <v>2005</v>
      </c>
      <c r="C561">
        <v>4</v>
      </c>
      <c r="D561">
        <v>1357.9</v>
      </c>
    </row>
    <row r="562" spans="1:4">
      <c r="A562" s="18">
        <f>DATE(2005,5,1)</f>
        <v>38473</v>
      </c>
      <c r="B562">
        <v>2005</v>
      </c>
      <c r="C562">
        <v>5</v>
      </c>
      <c r="D562">
        <v>1367.4</v>
      </c>
    </row>
    <row r="563" spans="1:4">
      <c r="A563" s="18">
        <f>DATE(2005,6,1)</f>
        <v>38504</v>
      </c>
      <c r="B563">
        <v>2005</v>
      </c>
      <c r="C563">
        <v>6</v>
      </c>
      <c r="D563">
        <v>1380.8</v>
      </c>
    </row>
    <row r="564" spans="1:4">
      <c r="A564" s="18">
        <f>DATE(2005,7,1)</f>
        <v>38534</v>
      </c>
      <c r="B564">
        <v>2005</v>
      </c>
      <c r="C564">
        <v>7</v>
      </c>
      <c r="D564">
        <v>1368.5</v>
      </c>
    </row>
    <row r="565" spans="1:4">
      <c r="A565" s="18">
        <f>DATE(2005,8,1)</f>
        <v>38565</v>
      </c>
      <c r="B565">
        <v>2005</v>
      </c>
      <c r="C565">
        <v>8</v>
      </c>
      <c r="D565">
        <v>1378.4</v>
      </c>
    </row>
    <row r="566" spans="1:4">
      <c r="A566" s="18">
        <f>DATE(2005,9,1)</f>
        <v>38596</v>
      </c>
      <c r="B566">
        <v>2005</v>
      </c>
      <c r="C566">
        <v>9</v>
      </c>
      <c r="D566">
        <v>1379.4</v>
      </c>
    </row>
    <row r="567" spans="1:4">
      <c r="A567" s="18">
        <f>DATE(2005,10,1)</f>
        <v>38626</v>
      </c>
      <c r="B567">
        <v>2005</v>
      </c>
      <c r="C567">
        <v>10</v>
      </c>
      <c r="D567">
        <v>1374.7</v>
      </c>
    </row>
    <row r="568" spans="1:4">
      <c r="A568" s="18">
        <f>DATE(2005,11,1)</f>
        <v>38657</v>
      </c>
      <c r="B568">
        <v>2005</v>
      </c>
      <c r="C568">
        <v>11</v>
      </c>
      <c r="D568">
        <v>1375.7</v>
      </c>
    </row>
    <row r="569" spans="1:4">
      <c r="A569" s="18">
        <f>DATE(2005,12,1)</f>
        <v>38687</v>
      </c>
      <c r="B569">
        <v>2005</v>
      </c>
      <c r="C569">
        <v>12</v>
      </c>
      <c r="D569">
        <v>1373.2</v>
      </c>
    </row>
    <row r="570" spans="1:4">
      <c r="A570" s="18">
        <f>DATE(2006,1,1)</f>
        <v>38718</v>
      </c>
      <c r="B570">
        <v>2006</v>
      </c>
      <c r="C570">
        <v>1</v>
      </c>
      <c r="D570">
        <v>1378.7</v>
      </c>
    </row>
    <row r="571" spans="1:4">
      <c r="A571" s="18">
        <f>DATE(2006,2,1)</f>
        <v>38749</v>
      </c>
      <c r="B571">
        <v>2006</v>
      </c>
      <c r="C571">
        <v>2</v>
      </c>
      <c r="D571">
        <v>1375</v>
      </c>
    </row>
    <row r="572" spans="1:4">
      <c r="A572" s="18">
        <f>DATE(2006,3,1)</f>
        <v>38777</v>
      </c>
      <c r="B572">
        <v>2006</v>
      </c>
      <c r="C572">
        <v>3</v>
      </c>
      <c r="D572">
        <v>1384</v>
      </c>
    </row>
    <row r="573" spans="1:4">
      <c r="A573" s="18">
        <f>DATE(2006,4,1)</f>
        <v>38808</v>
      </c>
      <c r="B573">
        <v>2006</v>
      </c>
      <c r="C573">
        <v>4</v>
      </c>
      <c r="D573">
        <v>1380.5</v>
      </c>
    </row>
    <row r="574" spans="1:4">
      <c r="A574" s="18">
        <f>DATE(2006,5,1)</f>
        <v>38838</v>
      </c>
      <c r="B574">
        <v>2006</v>
      </c>
      <c r="C574">
        <v>5</v>
      </c>
      <c r="D574">
        <v>1387.8</v>
      </c>
    </row>
    <row r="575" spans="1:4">
      <c r="A575" s="18">
        <f>DATE(2006,6,1)</f>
        <v>38869</v>
      </c>
      <c r="B575">
        <v>2006</v>
      </c>
      <c r="C575">
        <v>6</v>
      </c>
      <c r="D575">
        <v>1376.2</v>
      </c>
    </row>
    <row r="576" spans="1:4">
      <c r="A576" s="18">
        <f>DATE(2006,7,1)</f>
        <v>38899</v>
      </c>
      <c r="B576">
        <v>2006</v>
      </c>
      <c r="C576">
        <v>7</v>
      </c>
      <c r="D576">
        <v>1372.3</v>
      </c>
    </row>
    <row r="577" spans="1:4">
      <c r="A577" s="18">
        <f>DATE(2006,8,1)</f>
        <v>38930</v>
      </c>
      <c r="B577">
        <v>2006</v>
      </c>
      <c r="C577">
        <v>8</v>
      </c>
      <c r="D577">
        <v>1372.2</v>
      </c>
    </row>
    <row r="578" spans="1:4">
      <c r="A578" s="18">
        <f>DATE(2006,9,1)</f>
        <v>38961</v>
      </c>
      <c r="B578">
        <v>2006</v>
      </c>
      <c r="C578">
        <v>9</v>
      </c>
      <c r="D578">
        <v>1364.1</v>
      </c>
    </row>
    <row r="579" spans="1:4">
      <c r="A579" s="18">
        <f>DATE(2006,10,1)</f>
        <v>38991</v>
      </c>
      <c r="B579">
        <v>2006</v>
      </c>
      <c r="C579">
        <v>10</v>
      </c>
      <c r="D579">
        <v>1369.3</v>
      </c>
    </row>
    <row r="580" spans="1:4">
      <c r="A580" s="18">
        <f>DATE(2006,11,1)</f>
        <v>39022</v>
      </c>
      <c r="B580">
        <v>2006</v>
      </c>
      <c r="C580">
        <v>11</v>
      </c>
      <c r="D580">
        <v>1370.8</v>
      </c>
    </row>
    <row r="581" spans="1:4">
      <c r="A581" s="18">
        <f>DATE(2006,12,1)</f>
        <v>39052</v>
      </c>
      <c r="B581">
        <v>2006</v>
      </c>
      <c r="C581">
        <v>12</v>
      </c>
      <c r="D581">
        <v>1365.9</v>
      </c>
    </row>
    <row r="582" spans="1:4">
      <c r="A582" s="18">
        <f>DATE(2007,1,1)</f>
        <v>39083</v>
      </c>
      <c r="B582">
        <v>2007</v>
      </c>
      <c r="C582">
        <v>1</v>
      </c>
      <c r="D582">
        <v>1371.8</v>
      </c>
    </row>
    <row r="583" spans="1:4">
      <c r="A583" s="18">
        <f>DATE(2007,2,1)</f>
        <v>39114</v>
      </c>
      <c r="B583">
        <v>2007</v>
      </c>
      <c r="C583">
        <v>2</v>
      </c>
      <c r="D583">
        <v>1360.6</v>
      </c>
    </row>
    <row r="584" spans="1:4">
      <c r="A584" s="18">
        <f>DATE(2007,3,1)</f>
        <v>39142</v>
      </c>
      <c r="B584">
        <v>2007</v>
      </c>
      <c r="C584">
        <v>3</v>
      </c>
      <c r="D584">
        <v>1369.7</v>
      </c>
    </row>
    <row r="585" spans="1:4">
      <c r="A585" s="18">
        <f>DATE(2007,4,1)</f>
        <v>39173</v>
      </c>
      <c r="B585">
        <v>2007</v>
      </c>
      <c r="C585">
        <v>4</v>
      </c>
      <c r="D585">
        <v>1379.3</v>
      </c>
    </row>
    <row r="586" spans="1:4">
      <c r="A586" s="18">
        <f>DATE(2007,5,1)</f>
        <v>39203</v>
      </c>
      <c r="B586">
        <v>2007</v>
      </c>
      <c r="C586">
        <v>5</v>
      </c>
      <c r="D586">
        <v>1379.3</v>
      </c>
    </row>
    <row r="587" spans="1:4">
      <c r="A587" s="18">
        <f>DATE(2007,6,1)</f>
        <v>39234</v>
      </c>
      <c r="B587">
        <v>2007</v>
      </c>
      <c r="C587">
        <v>6</v>
      </c>
      <c r="D587">
        <v>1366.9</v>
      </c>
    </row>
    <row r="588" spans="1:4">
      <c r="A588" s="18">
        <f>DATE(2007,7,1)</f>
        <v>39264</v>
      </c>
      <c r="B588">
        <v>2007</v>
      </c>
      <c r="C588">
        <v>7</v>
      </c>
      <c r="D588">
        <v>1369.8</v>
      </c>
    </row>
    <row r="589" spans="1:4">
      <c r="A589" s="18">
        <f>DATE(2007,8,1)</f>
        <v>39295</v>
      </c>
      <c r="B589">
        <v>2007</v>
      </c>
      <c r="C589">
        <v>8</v>
      </c>
      <c r="D589">
        <v>1370.2</v>
      </c>
    </row>
    <row r="590" spans="1:4">
      <c r="A590" s="18">
        <f>DATE(2007,9,1)</f>
        <v>39326</v>
      </c>
      <c r="B590">
        <v>2007</v>
      </c>
      <c r="C590">
        <v>9</v>
      </c>
      <c r="D590">
        <v>1369.5</v>
      </c>
    </row>
    <row r="591" spans="1:4">
      <c r="A591" s="18">
        <f>DATE(2007,10,1)</f>
        <v>39356</v>
      </c>
      <c r="B591">
        <v>2007</v>
      </c>
      <c r="C591">
        <v>10</v>
      </c>
      <c r="D591">
        <v>1370.3</v>
      </c>
    </row>
    <row r="592" spans="1:4">
      <c r="A592" s="18">
        <f>DATE(2007,11,1)</f>
        <v>39387</v>
      </c>
      <c r="B592">
        <v>2007</v>
      </c>
      <c r="C592">
        <v>11</v>
      </c>
    </row>
    <row r="593" spans="1:7">
      <c r="A593" s="18">
        <f>DATE(2007,12,1)</f>
        <v>39417</v>
      </c>
      <c r="B593">
        <v>2007</v>
      </c>
      <c r="C593">
        <v>12</v>
      </c>
    </row>
    <row r="596" spans="1:7">
      <c r="C596" t="s">
        <v>63</v>
      </c>
      <c r="D596" t="s">
        <v>1306</v>
      </c>
      <c r="E596" t="s">
        <v>70</v>
      </c>
      <c r="F596" t="s">
        <v>68</v>
      </c>
      <c r="G596" t="s">
        <v>66</v>
      </c>
    </row>
    <row r="597" spans="1:7">
      <c r="C597">
        <v>1985</v>
      </c>
      <c r="D597">
        <v>12.364000000000001</v>
      </c>
      <c r="E597">
        <v>15.990399999999999</v>
      </c>
      <c r="F597">
        <v>4.2282000000000002</v>
      </c>
      <c r="G597">
        <v>5.22</v>
      </c>
    </row>
    <row r="598" spans="1:7">
      <c r="C598">
        <v>1986</v>
      </c>
      <c r="D598">
        <v>12.6053</v>
      </c>
      <c r="E598">
        <v>18.4924</v>
      </c>
      <c r="F598">
        <v>5.8414000000000001</v>
      </c>
      <c r="G598">
        <v>7.54</v>
      </c>
    </row>
    <row r="599" spans="1:7">
      <c r="C599">
        <v>1987</v>
      </c>
      <c r="D599">
        <v>12.9552</v>
      </c>
      <c r="E599">
        <v>21.236599999999999</v>
      </c>
      <c r="F599">
        <v>7.2206999999999999</v>
      </c>
      <c r="G599">
        <v>8.98</v>
      </c>
    </row>
    <row r="600" spans="1:7">
      <c r="C600">
        <v>1988</v>
      </c>
      <c r="D600">
        <v>13.9147</v>
      </c>
      <c r="E600">
        <v>24.7729</v>
      </c>
      <c r="F600">
        <v>7.9297000000000004</v>
      </c>
      <c r="G600">
        <v>10.87</v>
      </c>
    </row>
    <row r="601" spans="1:7">
      <c r="C601">
        <v>1989</v>
      </c>
      <c r="D601">
        <v>16.223800000000001</v>
      </c>
      <c r="E601">
        <v>26.551500000000001</v>
      </c>
      <c r="F601">
        <v>8.6438000000000006</v>
      </c>
      <c r="G601">
        <v>11.76</v>
      </c>
    </row>
    <row r="602" spans="1:7">
      <c r="C602">
        <v>1990</v>
      </c>
      <c r="D602">
        <v>17.499199999999998</v>
      </c>
      <c r="E602">
        <v>31.2835</v>
      </c>
      <c r="F602">
        <v>10.869400000000001</v>
      </c>
      <c r="G602">
        <v>12.16</v>
      </c>
    </row>
    <row r="603" spans="1:7">
      <c r="C603">
        <v>1991</v>
      </c>
      <c r="D603">
        <v>22.689</v>
      </c>
      <c r="E603">
        <v>39.994100000000003</v>
      </c>
      <c r="F603">
        <v>13.6991</v>
      </c>
      <c r="G603">
        <v>16.920000000000002</v>
      </c>
    </row>
    <row r="604" spans="1:7">
      <c r="C604">
        <v>1992</v>
      </c>
      <c r="D604">
        <v>25.9206</v>
      </c>
      <c r="E604">
        <v>45.7104</v>
      </c>
      <c r="F604">
        <v>16.635400000000001</v>
      </c>
      <c r="G604">
        <v>20.48</v>
      </c>
    </row>
    <row r="605" spans="1:7">
      <c r="C605">
        <v>1993</v>
      </c>
      <c r="D605">
        <v>31.443899999999999</v>
      </c>
      <c r="E605">
        <v>47.216000000000001</v>
      </c>
      <c r="F605">
        <v>19.026399999999999</v>
      </c>
      <c r="G605">
        <v>28.36</v>
      </c>
    </row>
    <row r="606" spans="1:7">
      <c r="C606">
        <v>1994</v>
      </c>
      <c r="D606">
        <v>31.374199999999998</v>
      </c>
      <c r="E606">
        <v>48.048200000000001</v>
      </c>
      <c r="F606">
        <v>19.4345</v>
      </c>
      <c r="G606">
        <v>30.736999999999998</v>
      </c>
    </row>
    <row r="607" spans="1:7">
      <c r="C607">
        <v>1995</v>
      </c>
      <c r="D607">
        <v>32.419800000000002</v>
      </c>
      <c r="E607">
        <v>51.166200000000003</v>
      </c>
      <c r="F607">
        <v>22.651499999999999</v>
      </c>
      <c r="G607">
        <v>34.6113</v>
      </c>
    </row>
    <row r="608" spans="1:7">
      <c r="C608">
        <v>1996</v>
      </c>
      <c r="D608">
        <v>35.427999999999997</v>
      </c>
      <c r="E608">
        <v>55.342199999999998</v>
      </c>
      <c r="F608">
        <v>23.569400000000002</v>
      </c>
      <c r="G608">
        <v>32.597099999999998</v>
      </c>
    </row>
    <row r="609" spans="3:7">
      <c r="C609">
        <v>1997</v>
      </c>
      <c r="D609">
        <v>36.319499999999998</v>
      </c>
      <c r="E609">
        <v>59.534599999999998</v>
      </c>
      <c r="F609">
        <v>20.9861</v>
      </c>
      <c r="G609">
        <v>30.049499999999998</v>
      </c>
    </row>
    <row r="610" spans="3:7">
      <c r="C610">
        <v>1998</v>
      </c>
      <c r="D610">
        <v>41.266500000000001</v>
      </c>
      <c r="E610">
        <v>68.352500000000006</v>
      </c>
      <c r="F610">
        <v>23.505700000000001</v>
      </c>
      <c r="G610">
        <v>31.667999999999999</v>
      </c>
    </row>
    <row r="611" spans="3:7">
      <c r="C611">
        <v>1999</v>
      </c>
      <c r="D611">
        <v>43.055199999999999</v>
      </c>
      <c r="E611">
        <v>69.67</v>
      </c>
      <c r="F611">
        <v>45.956099999999999</v>
      </c>
      <c r="G611">
        <v>37.9983</v>
      </c>
    </row>
    <row r="612" spans="3:7">
      <c r="C612">
        <v>1900</v>
      </c>
      <c r="D612">
        <v>44.940100000000001</v>
      </c>
      <c r="E612">
        <v>68.075999999999993</v>
      </c>
      <c r="F612">
        <v>41.493899999999996</v>
      </c>
      <c r="G612">
        <v>41.7258</v>
      </c>
    </row>
    <row r="613" spans="3:7">
      <c r="C613">
        <v>2001</v>
      </c>
      <c r="D613">
        <v>47.185699999999997</v>
      </c>
      <c r="E613">
        <v>67.982600000000005</v>
      </c>
      <c r="F613">
        <v>42.286900000000003</v>
      </c>
      <c r="G613">
        <v>38.867400000000004</v>
      </c>
    </row>
    <row r="614" spans="3:7">
      <c r="C614">
        <v>2002</v>
      </c>
      <c r="D614">
        <v>48.599299999999999</v>
      </c>
      <c r="E614">
        <v>73.002799999999993</v>
      </c>
      <c r="F614">
        <v>45.926099999999998</v>
      </c>
      <c r="G614">
        <v>38.872199999999999</v>
      </c>
    </row>
    <row r="615" spans="3:7">
      <c r="C615">
        <v>2003</v>
      </c>
      <c r="D615">
        <v>46.581800000000001</v>
      </c>
      <c r="E615">
        <v>76.097399999999993</v>
      </c>
      <c r="F615">
        <v>52.660299999999999</v>
      </c>
      <c r="G615">
        <v>40.204700000000003</v>
      </c>
    </row>
    <row r="616" spans="3:7">
      <c r="C616">
        <v>2004</v>
      </c>
      <c r="D616">
        <v>45.316499999999998</v>
      </c>
      <c r="E616">
        <v>82.9983</v>
      </c>
      <c r="F616">
        <v>56.325899999999997</v>
      </c>
      <c r="G616">
        <v>41.894100000000002</v>
      </c>
    </row>
    <row r="617" spans="3:7">
      <c r="C617">
        <v>2005</v>
      </c>
      <c r="D617">
        <v>44.1</v>
      </c>
      <c r="E617">
        <v>80.253</v>
      </c>
      <c r="F617">
        <v>54.899299999999997</v>
      </c>
      <c r="G617">
        <v>40.101999999999997</v>
      </c>
    </row>
    <row r="618" spans="3:7">
      <c r="C618">
        <v>2006</v>
      </c>
      <c r="D618">
        <v>45.332500000000003</v>
      </c>
      <c r="E618">
        <v>83.654600000000002</v>
      </c>
      <c r="F618">
        <v>57.013800000000003</v>
      </c>
      <c r="G618">
        <v>39.019500000000001</v>
      </c>
    </row>
    <row r="619" spans="3:7">
      <c r="C619">
        <v>2007</v>
      </c>
      <c r="D619">
        <v>41.2926</v>
      </c>
      <c r="E619">
        <v>82.656300000000002</v>
      </c>
      <c r="F619">
        <v>56.5623</v>
      </c>
      <c r="G619">
        <v>35.085000000000001</v>
      </c>
    </row>
  </sheetData>
  <mergeCells count="5">
    <mergeCell ref="O5:P5"/>
    <mergeCell ref="Q5:R5"/>
    <mergeCell ref="I5:J5"/>
    <mergeCell ref="K5:L5"/>
    <mergeCell ref="M5:N5"/>
  </mergeCells>
  <hyperlinks>
    <hyperlink ref="A3" r:id="rId1" xr:uid="{23D4DE9C-9DBF-486D-8DC5-BD507AFD8137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0246-A196-4276-BC3F-FFEA5C60BCF8}">
  <dimension ref="A1:E54"/>
  <sheetViews>
    <sheetView topLeftCell="A37" workbookViewId="0">
      <selection activeCell="B3" sqref="B3"/>
    </sheetView>
  </sheetViews>
  <sheetFormatPr defaultRowHeight="15"/>
  <sheetData>
    <row r="1" spans="1:5">
      <c r="A1" t="s">
        <v>551</v>
      </c>
    </row>
    <row r="3" spans="1:5">
      <c r="A3" t="s">
        <v>1259</v>
      </c>
      <c r="B3" t="s">
        <v>552</v>
      </c>
      <c r="C3" t="s">
        <v>553</v>
      </c>
      <c r="D3" t="s">
        <v>554</v>
      </c>
      <c r="E3" t="s">
        <v>555</v>
      </c>
    </row>
    <row r="4" spans="1:5">
      <c r="A4" t="s">
        <v>556</v>
      </c>
      <c r="B4" s="86">
        <v>60822</v>
      </c>
      <c r="C4" s="86">
        <v>12436</v>
      </c>
      <c r="D4">
        <v>1</v>
      </c>
      <c r="E4">
        <v>0</v>
      </c>
    </row>
    <row r="5" spans="1:5">
      <c r="A5" t="s">
        <v>557</v>
      </c>
      <c r="B5" s="86">
        <v>58246</v>
      </c>
      <c r="C5" s="86">
        <v>9275</v>
      </c>
      <c r="D5">
        <v>1</v>
      </c>
      <c r="E5">
        <v>0</v>
      </c>
    </row>
    <row r="6" spans="1:5">
      <c r="A6" t="s">
        <v>558</v>
      </c>
      <c r="B6" s="86">
        <v>47831</v>
      </c>
      <c r="C6" s="86">
        <v>8935</v>
      </c>
      <c r="D6">
        <v>1</v>
      </c>
      <c r="E6">
        <v>0</v>
      </c>
    </row>
    <row r="7" spans="1:5">
      <c r="A7" t="s">
        <v>559</v>
      </c>
      <c r="B7" s="86">
        <v>43130</v>
      </c>
      <c r="C7" s="86">
        <v>7807</v>
      </c>
      <c r="D7">
        <v>1</v>
      </c>
      <c r="E7">
        <v>0</v>
      </c>
    </row>
    <row r="8" spans="1:5">
      <c r="A8" t="s">
        <v>560</v>
      </c>
      <c r="B8" s="86">
        <v>43334</v>
      </c>
      <c r="C8" s="86">
        <v>8373</v>
      </c>
      <c r="D8">
        <v>1</v>
      </c>
      <c r="E8">
        <v>0</v>
      </c>
    </row>
    <row r="9" spans="1:5">
      <c r="A9" t="s">
        <v>561</v>
      </c>
      <c r="B9" s="86">
        <v>41596</v>
      </c>
      <c r="C9" s="86">
        <v>11285</v>
      </c>
      <c r="D9">
        <v>1</v>
      </c>
      <c r="E9">
        <v>0</v>
      </c>
    </row>
    <row r="10" spans="1:5">
      <c r="A10" t="s">
        <v>562</v>
      </c>
      <c r="B10" s="86">
        <v>58624</v>
      </c>
      <c r="C10" s="86">
        <v>12596</v>
      </c>
      <c r="D10">
        <v>1</v>
      </c>
      <c r="E10">
        <v>0</v>
      </c>
    </row>
    <row r="11" spans="1:5">
      <c r="A11" t="s">
        <v>563</v>
      </c>
      <c r="B11" s="86">
        <v>54895</v>
      </c>
      <c r="C11" s="86">
        <v>9880</v>
      </c>
      <c r="D11">
        <v>1</v>
      </c>
      <c r="E11">
        <v>0</v>
      </c>
    </row>
    <row r="12" spans="1:5">
      <c r="A12" t="s">
        <v>564</v>
      </c>
      <c r="B12" s="86">
        <v>49634</v>
      </c>
      <c r="C12" s="86">
        <v>9675</v>
      </c>
      <c r="D12">
        <v>1</v>
      </c>
      <c r="E12">
        <v>0</v>
      </c>
    </row>
    <row r="13" spans="1:5">
      <c r="A13" t="s">
        <v>565</v>
      </c>
      <c r="B13" s="86">
        <v>41839</v>
      </c>
      <c r="C13" s="86">
        <v>7840</v>
      </c>
      <c r="D13">
        <v>1</v>
      </c>
      <c r="E13">
        <v>0</v>
      </c>
    </row>
    <row r="14" spans="1:5">
      <c r="A14" t="s">
        <v>566</v>
      </c>
      <c r="B14" s="86">
        <v>42044</v>
      </c>
      <c r="C14" s="86">
        <v>7900</v>
      </c>
      <c r="D14">
        <v>1</v>
      </c>
      <c r="E14">
        <v>0</v>
      </c>
    </row>
    <row r="15" spans="1:5">
      <c r="A15" t="s">
        <v>567</v>
      </c>
      <c r="B15" s="86">
        <v>46527</v>
      </c>
      <c r="C15" s="86">
        <v>10206</v>
      </c>
      <c r="D15">
        <v>1</v>
      </c>
      <c r="E15">
        <v>0</v>
      </c>
    </row>
    <row r="16" spans="1:5">
      <c r="A16" t="s">
        <v>568</v>
      </c>
      <c r="B16" s="86">
        <v>59920</v>
      </c>
      <c r="C16" s="86">
        <v>13781</v>
      </c>
      <c r="D16">
        <v>1</v>
      </c>
      <c r="E16">
        <v>0</v>
      </c>
    </row>
    <row r="17" spans="1:5">
      <c r="A17" t="s">
        <v>569</v>
      </c>
      <c r="B17" s="86">
        <v>58537</v>
      </c>
      <c r="C17" s="86">
        <v>13551</v>
      </c>
      <c r="D17">
        <v>1</v>
      </c>
      <c r="E17">
        <v>0</v>
      </c>
    </row>
    <row r="18" spans="1:5">
      <c r="A18" t="s">
        <v>570</v>
      </c>
      <c r="B18" s="86">
        <v>38822</v>
      </c>
      <c r="C18" s="86">
        <v>7807</v>
      </c>
      <c r="D18">
        <v>1</v>
      </c>
      <c r="E18">
        <v>0</v>
      </c>
    </row>
    <row r="19" spans="1:5">
      <c r="A19" t="s">
        <v>571</v>
      </c>
      <c r="B19" s="86">
        <v>51937</v>
      </c>
      <c r="C19" s="86">
        <v>10034</v>
      </c>
      <c r="D19">
        <v>1</v>
      </c>
      <c r="E19">
        <v>0</v>
      </c>
    </row>
    <row r="20" spans="1:5">
      <c r="A20" t="s">
        <v>572</v>
      </c>
      <c r="B20" s="86">
        <v>54970</v>
      </c>
      <c r="C20" s="86">
        <v>10711</v>
      </c>
      <c r="D20">
        <v>1</v>
      </c>
      <c r="E20">
        <v>0</v>
      </c>
    </row>
    <row r="21" spans="1:5">
      <c r="A21" t="s">
        <v>573</v>
      </c>
      <c r="B21" s="86">
        <v>55956</v>
      </c>
      <c r="C21" s="86">
        <v>11089</v>
      </c>
      <c r="D21">
        <v>1</v>
      </c>
      <c r="E21">
        <v>0</v>
      </c>
    </row>
    <row r="22" spans="1:5">
      <c r="A22" t="s">
        <v>574</v>
      </c>
      <c r="B22" s="86">
        <v>35378</v>
      </c>
      <c r="C22" s="86">
        <v>7911</v>
      </c>
      <c r="D22">
        <v>1</v>
      </c>
      <c r="E22">
        <v>0</v>
      </c>
    </row>
    <row r="23" spans="1:5">
      <c r="A23" t="s">
        <v>575</v>
      </c>
      <c r="B23" s="86">
        <v>48370</v>
      </c>
      <c r="C23" s="86">
        <v>12475</v>
      </c>
      <c r="D23">
        <v>1</v>
      </c>
      <c r="E23">
        <v>0</v>
      </c>
    </row>
    <row r="24" spans="1:5">
      <c r="A24" t="s">
        <v>576</v>
      </c>
      <c r="B24" s="86">
        <v>47901</v>
      </c>
      <c r="C24" s="86">
        <v>9965</v>
      </c>
      <c r="D24">
        <v>1</v>
      </c>
      <c r="E24">
        <v>0</v>
      </c>
    </row>
    <row r="25" spans="1:5">
      <c r="A25" t="s">
        <v>577</v>
      </c>
      <c r="B25" s="86">
        <v>43389</v>
      </c>
      <c r="C25" s="86">
        <v>7706</v>
      </c>
      <c r="D25">
        <v>0</v>
      </c>
      <c r="E25">
        <v>1</v>
      </c>
    </row>
    <row r="26" spans="1:5">
      <c r="A26" t="s">
        <v>578</v>
      </c>
      <c r="B26" s="86">
        <v>44245</v>
      </c>
      <c r="C26" s="86">
        <v>8402</v>
      </c>
      <c r="D26">
        <v>0</v>
      </c>
      <c r="E26">
        <v>1</v>
      </c>
    </row>
    <row r="27" spans="1:5">
      <c r="A27" t="s">
        <v>579</v>
      </c>
      <c r="B27" s="86">
        <v>54680</v>
      </c>
      <c r="C27" s="86">
        <v>12036</v>
      </c>
      <c r="D27">
        <v>0</v>
      </c>
      <c r="E27">
        <v>1</v>
      </c>
    </row>
    <row r="28" spans="1:5">
      <c r="A28" t="s">
        <v>580</v>
      </c>
      <c r="B28" s="86">
        <v>59000</v>
      </c>
      <c r="C28" s="86">
        <v>15508</v>
      </c>
      <c r="D28">
        <v>0</v>
      </c>
      <c r="E28">
        <v>1</v>
      </c>
    </row>
    <row r="29" spans="1:5">
      <c r="A29" t="s">
        <v>581</v>
      </c>
      <c r="B29" s="86">
        <v>45308</v>
      </c>
      <c r="C29" s="86">
        <v>7762</v>
      </c>
      <c r="D29">
        <v>0</v>
      </c>
      <c r="E29">
        <v>1</v>
      </c>
    </row>
    <row r="30" spans="1:5">
      <c r="A30" t="s">
        <v>582</v>
      </c>
      <c r="B30" s="86">
        <v>49905</v>
      </c>
      <c r="C30" s="86">
        <v>8534</v>
      </c>
      <c r="D30">
        <v>0</v>
      </c>
      <c r="E30">
        <v>1</v>
      </c>
    </row>
    <row r="31" spans="1:5">
      <c r="A31" t="s">
        <v>583</v>
      </c>
      <c r="B31" s="86">
        <v>43646</v>
      </c>
      <c r="C31" s="86">
        <v>8300</v>
      </c>
      <c r="D31">
        <v>0</v>
      </c>
      <c r="E31">
        <v>1</v>
      </c>
    </row>
    <row r="32" spans="1:5">
      <c r="A32" t="s">
        <v>584</v>
      </c>
      <c r="B32" s="86">
        <v>42816</v>
      </c>
      <c r="C32" s="86">
        <v>8519</v>
      </c>
      <c r="D32">
        <v>0</v>
      </c>
      <c r="E32">
        <v>1</v>
      </c>
    </row>
    <row r="33" spans="1:5">
      <c r="A33" t="s">
        <v>585</v>
      </c>
      <c r="B33" s="86">
        <v>56927</v>
      </c>
      <c r="C33" s="86">
        <v>9771</v>
      </c>
      <c r="D33">
        <v>0</v>
      </c>
      <c r="E33">
        <v>1</v>
      </c>
    </row>
    <row r="34" spans="1:5">
      <c r="A34" t="s">
        <v>586</v>
      </c>
      <c r="B34" s="86">
        <v>40182</v>
      </c>
      <c r="C34" s="86">
        <v>7215</v>
      </c>
      <c r="D34">
        <v>0</v>
      </c>
      <c r="E34">
        <v>1</v>
      </c>
    </row>
    <row r="35" spans="1:5">
      <c r="A35" t="s">
        <v>587</v>
      </c>
      <c r="B35" s="86">
        <v>46410</v>
      </c>
      <c r="C35" s="86">
        <v>7675</v>
      </c>
      <c r="D35">
        <v>0</v>
      </c>
      <c r="E35">
        <v>1</v>
      </c>
    </row>
    <row r="36" spans="1:5">
      <c r="A36" t="s">
        <v>588</v>
      </c>
      <c r="B36" s="86">
        <v>42379</v>
      </c>
      <c r="C36" s="86">
        <v>6944</v>
      </c>
      <c r="D36">
        <v>0</v>
      </c>
      <c r="E36">
        <v>1</v>
      </c>
    </row>
    <row r="37" spans="1:5">
      <c r="A37" t="s">
        <v>589</v>
      </c>
      <c r="B37" s="86">
        <v>44133</v>
      </c>
      <c r="C37" s="86">
        <v>8377</v>
      </c>
      <c r="D37">
        <v>0</v>
      </c>
      <c r="E37">
        <v>1</v>
      </c>
    </row>
    <row r="38" spans="1:5">
      <c r="A38" t="s">
        <v>590</v>
      </c>
      <c r="B38" s="86">
        <v>43816</v>
      </c>
      <c r="C38" s="86">
        <v>6979</v>
      </c>
      <c r="D38">
        <v>0</v>
      </c>
      <c r="E38">
        <v>1</v>
      </c>
    </row>
    <row r="39" spans="1:5">
      <c r="A39" t="s">
        <v>591</v>
      </c>
      <c r="B39" s="86">
        <v>44897</v>
      </c>
      <c r="C39" s="86">
        <v>7547</v>
      </c>
      <c r="D39">
        <v>0</v>
      </c>
      <c r="E39">
        <v>1</v>
      </c>
    </row>
    <row r="40" spans="1:5">
      <c r="A40" t="s">
        <v>592</v>
      </c>
      <c r="B40" s="86">
        <v>44727</v>
      </c>
      <c r="C40" s="86">
        <v>9275</v>
      </c>
      <c r="D40">
        <v>0</v>
      </c>
      <c r="E40">
        <v>1</v>
      </c>
    </row>
    <row r="41" spans="1:5">
      <c r="A41" t="s">
        <v>593</v>
      </c>
      <c r="B41" s="86">
        <v>40531</v>
      </c>
      <c r="C41" s="86">
        <v>9886</v>
      </c>
      <c r="D41">
        <v>0</v>
      </c>
      <c r="E41">
        <v>1</v>
      </c>
    </row>
    <row r="42" spans="1:5">
      <c r="A42" t="s">
        <v>594</v>
      </c>
      <c r="B42" s="86">
        <v>54658</v>
      </c>
      <c r="C42" s="86">
        <v>10171</v>
      </c>
      <c r="D42">
        <v>0</v>
      </c>
      <c r="E42">
        <v>0</v>
      </c>
    </row>
    <row r="43" spans="1:5">
      <c r="A43" t="s">
        <v>595</v>
      </c>
      <c r="B43" s="86">
        <v>45941</v>
      </c>
      <c r="C43" s="86">
        <v>5585</v>
      </c>
      <c r="D43">
        <v>0</v>
      </c>
      <c r="E43">
        <v>0</v>
      </c>
    </row>
    <row r="44" spans="1:5">
      <c r="A44" t="s">
        <v>596</v>
      </c>
      <c r="B44" s="86">
        <v>63640</v>
      </c>
      <c r="C44" s="86">
        <v>8486</v>
      </c>
      <c r="D44">
        <v>0</v>
      </c>
      <c r="E44">
        <v>0</v>
      </c>
    </row>
    <row r="45" spans="1:5">
      <c r="A45" t="s">
        <v>597</v>
      </c>
      <c r="B45" s="86">
        <v>45833</v>
      </c>
      <c r="C45" s="86">
        <v>8861</v>
      </c>
      <c r="D45">
        <v>0</v>
      </c>
      <c r="E45">
        <v>0</v>
      </c>
    </row>
    <row r="46" spans="1:5">
      <c r="A46" t="s">
        <v>598</v>
      </c>
      <c r="B46" s="86">
        <v>51922</v>
      </c>
      <c r="C46" s="86">
        <v>9879</v>
      </c>
      <c r="D46">
        <v>0</v>
      </c>
      <c r="E46">
        <v>0</v>
      </c>
    </row>
    <row r="47" spans="1:5">
      <c r="A47" t="s">
        <v>599</v>
      </c>
      <c r="B47" s="86">
        <v>42798</v>
      </c>
      <c r="C47" s="86">
        <v>7042</v>
      </c>
      <c r="D47">
        <v>0</v>
      </c>
      <c r="E47">
        <v>0</v>
      </c>
    </row>
    <row r="48" spans="1:5">
      <c r="A48" t="s">
        <v>600</v>
      </c>
      <c r="B48" s="86">
        <v>41225</v>
      </c>
      <c r="C48" s="86">
        <v>8361</v>
      </c>
      <c r="D48">
        <v>0</v>
      </c>
      <c r="E48">
        <v>0</v>
      </c>
    </row>
    <row r="49" spans="1:5">
      <c r="A49" t="s">
        <v>601</v>
      </c>
      <c r="B49" s="86">
        <v>45342</v>
      </c>
      <c r="C49" s="86">
        <v>6755</v>
      </c>
      <c r="D49">
        <v>0</v>
      </c>
      <c r="E49">
        <v>0</v>
      </c>
    </row>
    <row r="50" spans="1:5">
      <c r="A50" t="s">
        <v>602</v>
      </c>
      <c r="B50" s="86">
        <v>42780</v>
      </c>
      <c r="C50" s="86">
        <v>8622</v>
      </c>
      <c r="D50">
        <v>0</v>
      </c>
      <c r="E50">
        <v>0</v>
      </c>
    </row>
    <row r="51" spans="1:5">
      <c r="A51" t="s">
        <v>603</v>
      </c>
      <c r="B51" s="86">
        <v>50911</v>
      </c>
      <c r="C51" s="86">
        <v>8649</v>
      </c>
      <c r="D51">
        <v>0</v>
      </c>
      <c r="E51">
        <v>0</v>
      </c>
    </row>
    <row r="52" spans="1:5">
      <c r="A52" t="s">
        <v>604</v>
      </c>
      <c r="B52" s="86">
        <v>40566</v>
      </c>
      <c r="C52" s="86">
        <v>5347</v>
      </c>
      <c r="D52">
        <v>0</v>
      </c>
      <c r="E52">
        <v>0</v>
      </c>
    </row>
    <row r="53" spans="1:5">
      <c r="A53" t="s">
        <v>605</v>
      </c>
      <c r="B53" s="86">
        <v>47882</v>
      </c>
      <c r="C53" s="86">
        <v>7958</v>
      </c>
      <c r="D53">
        <v>0</v>
      </c>
      <c r="E53">
        <v>0</v>
      </c>
    </row>
    <row r="54" spans="1:5">
      <c r="A54" t="s">
        <v>606</v>
      </c>
      <c r="B54" s="86">
        <v>50692</v>
      </c>
      <c r="C54" s="86">
        <v>11596</v>
      </c>
      <c r="D54">
        <v>0</v>
      </c>
      <c r="E54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EDD1E-FDA3-49D3-A91E-8B70C8E0CCE2}">
  <dimension ref="A1:D31"/>
  <sheetViews>
    <sheetView workbookViewId="0">
      <selection sqref="A1:D31"/>
    </sheetView>
  </sheetViews>
  <sheetFormatPr defaultRowHeight="15"/>
  <sheetData>
    <row r="1" spans="1:4">
      <c r="A1" t="s">
        <v>607</v>
      </c>
    </row>
    <row r="2" spans="1:4">
      <c r="A2" t="s">
        <v>608</v>
      </c>
    </row>
    <row r="3" spans="1:4">
      <c r="A3" t="s">
        <v>609</v>
      </c>
    </row>
    <row r="5" spans="1:4">
      <c r="A5" t="s">
        <v>456</v>
      </c>
      <c r="B5" t="s">
        <v>539</v>
      </c>
      <c r="C5" t="s">
        <v>540</v>
      </c>
      <c r="D5" t="s">
        <v>610</v>
      </c>
    </row>
    <row r="6" spans="1:4">
      <c r="A6">
        <v>1970</v>
      </c>
      <c r="B6">
        <v>61</v>
      </c>
      <c r="C6">
        <v>727.1</v>
      </c>
      <c r="D6">
        <v>0</v>
      </c>
    </row>
    <row r="7" spans="1:4">
      <c r="A7">
        <v>1971</v>
      </c>
      <c r="B7">
        <v>68.599999999999994</v>
      </c>
      <c r="C7">
        <v>790.2</v>
      </c>
      <c r="D7">
        <v>0</v>
      </c>
    </row>
    <row r="8" spans="1:4">
      <c r="A8">
        <v>1972</v>
      </c>
      <c r="B8">
        <v>63.6</v>
      </c>
      <c r="C8">
        <v>855.3</v>
      </c>
      <c r="D8">
        <v>0</v>
      </c>
    </row>
    <row r="9" spans="1:4">
      <c r="A9">
        <v>1973</v>
      </c>
      <c r="B9">
        <v>89.6</v>
      </c>
      <c r="C9">
        <v>965</v>
      </c>
      <c r="D9">
        <v>0</v>
      </c>
    </row>
    <row r="10" spans="1:4">
      <c r="A10">
        <v>1974</v>
      </c>
      <c r="B10">
        <v>97.6</v>
      </c>
      <c r="C10">
        <v>1054.2</v>
      </c>
      <c r="D10">
        <v>0</v>
      </c>
    </row>
    <row r="11" spans="1:4">
      <c r="A11">
        <v>1975</v>
      </c>
      <c r="B11">
        <v>104.4</v>
      </c>
      <c r="C11">
        <v>1159.2</v>
      </c>
      <c r="D11">
        <v>0</v>
      </c>
    </row>
    <row r="12" spans="1:4">
      <c r="A12">
        <v>1976</v>
      </c>
      <c r="B12">
        <v>96.4</v>
      </c>
      <c r="C12">
        <v>1273</v>
      </c>
      <c r="D12">
        <v>0</v>
      </c>
    </row>
    <row r="13" spans="1:4">
      <c r="A13">
        <v>1977</v>
      </c>
      <c r="B13">
        <v>92.5</v>
      </c>
      <c r="C13">
        <v>1401.4</v>
      </c>
      <c r="D13">
        <v>0</v>
      </c>
    </row>
    <row r="14" spans="1:4">
      <c r="A14">
        <v>1978</v>
      </c>
      <c r="B14">
        <v>112.6</v>
      </c>
      <c r="C14">
        <v>1580.1</v>
      </c>
      <c r="D14">
        <v>0</v>
      </c>
    </row>
    <row r="15" spans="1:4">
      <c r="A15">
        <v>1979</v>
      </c>
      <c r="B15">
        <v>130.1</v>
      </c>
      <c r="C15">
        <v>1769.5</v>
      </c>
      <c r="D15">
        <v>0</v>
      </c>
    </row>
    <row r="16" spans="1:4">
      <c r="A16">
        <v>1980</v>
      </c>
      <c r="B16">
        <v>161.80000000000001</v>
      </c>
      <c r="C16">
        <v>1973.3</v>
      </c>
      <c r="D16">
        <v>0</v>
      </c>
    </row>
    <row r="17" spans="1:4">
      <c r="A17">
        <v>1981</v>
      </c>
      <c r="B17">
        <v>199.1</v>
      </c>
      <c r="C17">
        <v>2200.1999999999998</v>
      </c>
      <c r="D17">
        <v>0</v>
      </c>
    </row>
    <row r="18" spans="1:4">
      <c r="A18">
        <v>1982</v>
      </c>
      <c r="B18">
        <v>205.5</v>
      </c>
      <c r="C18">
        <v>2347.3000000000002</v>
      </c>
      <c r="D18">
        <v>1</v>
      </c>
    </row>
    <row r="19" spans="1:4">
      <c r="A19">
        <v>1983</v>
      </c>
      <c r="B19">
        <v>167</v>
      </c>
      <c r="C19">
        <v>2522.4</v>
      </c>
      <c r="D19">
        <v>1</v>
      </c>
    </row>
    <row r="20" spans="1:4">
      <c r="A20">
        <v>1984</v>
      </c>
      <c r="B20">
        <v>235.7</v>
      </c>
      <c r="C20">
        <v>2810</v>
      </c>
      <c r="D20">
        <v>1</v>
      </c>
    </row>
    <row r="21" spans="1:4">
      <c r="A21">
        <v>1985</v>
      </c>
      <c r="B21">
        <v>206.2</v>
      </c>
      <c r="C21">
        <v>3002</v>
      </c>
      <c r="D21">
        <v>1</v>
      </c>
    </row>
    <row r="22" spans="1:4">
      <c r="A22">
        <v>1986</v>
      </c>
      <c r="B22">
        <v>196.5</v>
      </c>
      <c r="C22">
        <v>3187.6</v>
      </c>
      <c r="D22">
        <v>1</v>
      </c>
    </row>
    <row r="23" spans="1:4">
      <c r="A23">
        <v>1987</v>
      </c>
      <c r="B23">
        <v>168.4</v>
      </c>
      <c r="C23">
        <v>3363.1</v>
      </c>
      <c r="D23">
        <v>1</v>
      </c>
    </row>
    <row r="24" spans="1:4">
      <c r="A24">
        <v>1988</v>
      </c>
      <c r="B24">
        <v>189.1</v>
      </c>
      <c r="C24">
        <v>3640.8</v>
      </c>
      <c r="D24">
        <v>1</v>
      </c>
    </row>
    <row r="25" spans="1:4">
      <c r="A25">
        <v>1989</v>
      </c>
      <c r="B25">
        <v>187.8</v>
      </c>
      <c r="C25">
        <v>3894.5</v>
      </c>
      <c r="D25">
        <v>1</v>
      </c>
    </row>
    <row r="26" spans="1:4">
      <c r="A26">
        <v>1990</v>
      </c>
      <c r="B26">
        <v>208.7</v>
      </c>
      <c r="C26">
        <v>4166.8</v>
      </c>
      <c r="D26">
        <v>1</v>
      </c>
    </row>
    <row r="27" spans="1:4">
      <c r="A27">
        <v>1991</v>
      </c>
      <c r="B27">
        <v>246.4</v>
      </c>
      <c r="C27">
        <v>4343.7</v>
      </c>
      <c r="D27">
        <v>1</v>
      </c>
    </row>
    <row r="28" spans="1:4">
      <c r="A28">
        <v>1992</v>
      </c>
      <c r="B28">
        <v>272.60000000000002</v>
      </c>
      <c r="C28">
        <v>4613.7</v>
      </c>
      <c r="D28">
        <v>1</v>
      </c>
    </row>
    <row r="29" spans="1:4">
      <c r="A29">
        <v>1993</v>
      </c>
      <c r="B29">
        <v>214.4</v>
      </c>
      <c r="C29">
        <v>4790.2</v>
      </c>
      <c r="D29">
        <v>1</v>
      </c>
    </row>
    <row r="30" spans="1:4">
      <c r="A30">
        <v>1994</v>
      </c>
      <c r="B30">
        <v>189.4</v>
      </c>
      <c r="C30">
        <v>5021.7</v>
      </c>
      <c r="D30">
        <v>1</v>
      </c>
    </row>
    <row r="31" spans="1:4">
      <c r="A31">
        <v>1995</v>
      </c>
      <c r="B31">
        <v>249.3</v>
      </c>
      <c r="C31">
        <v>5320.8</v>
      </c>
      <c r="D31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2B34-F325-4C30-955F-C2FE95DE0150}">
  <dimension ref="A1:D38"/>
  <sheetViews>
    <sheetView topLeftCell="A22" workbookViewId="0">
      <selection activeCell="D38" sqref="D38"/>
    </sheetView>
  </sheetViews>
  <sheetFormatPr defaultRowHeight="15"/>
  <sheetData>
    <row r="1" spans="1:4">
      <c r="A1" t="s">
        <v>611</v>
      </c>
    </row>
    <row r="3" spans="1:4">
      <c r="A3" t="s">
        <v>612</v>
      </c>
    </row>
    <row r="4" spans="1:4">
      <c r="A4" t="s">
        <v>613</v>
      </c>
    </row>
    <row r="6" spans="1:4">
      <c r="A6" t="s">
        <v>614</v>
      </c>
      <c r="B6" t="s">
        <v>615</v>
      </c>
      <c r="C6" t="s">
        <v>616</v>
      </c>
      <c r="D6" t="s">
        <v>617</v>
      </c>
    </row>
    <row r="7" spans="1:4">
      <c r="A7">
        <v>841</v>
      </c>
      <c r="B7">
        <v>1317</v>
      </c>
      <c r="C7">
        <v>1271</v>
      </c>
      <c r="D7">
        <v>252.6</v>
      </c>
    </row>
    <row r="8" spans="1:4">
      <c r="A8">
        <v>957</v>
      </c>
      <c r="B8">
        <v>1615</v>
      </c>
      <c r="C8">
        <v>1295</v>
      </c>
      <c r="D8">
        <v>272.39999999999998</v>
      </c>
    </row>
    <row r="9" spans="1:4">
      <c r="A9">
        <v>999</v>
      </c>
      <c r="B9">
        <v>1662</v>
      </c>
      <c r="C9">
        <v>1313</v>
      </c>
      <c r="D9">
        <v>270.89999999999998</v>
      </c>
    </row>
    <row r="10" spans="1:4">
      <c r="A10">
        <v>960</v>
      </c>
      <c r="B10">
        <v>1295</v>
      </c>
      <c r="C10">
        <v>1150</v>
      </c>
      <c r="D10">
        <v>273.89999999999998</v>
      </c>
    </row>
    <row r="11" spans="1:4">
      <c r="A11">
        <v>894</v>
      </c>
      <c r="B11">
        <v>1271</v>
      </c>
      <c r="C11">
        <v>1289</v>
      </c>
      <c r="D11">
        <v>268.89999999999998</v>
      </c>
    </row>
    <row r="12" spans="1:4">
      <c r="A12">
        <v>851</v>
      </c>
      <c r="B12">
        <v>1555</v>
      </c>
      <c r="C12">
        <v>1245</v>
      </c>
      <c r="D12">
        <v>262.89999999999998</v>
      </c>
    </row>
    <row r="13" spans="1:4">
      <c r="A13">
        <v>863</v>
      </c>
      <c r="B13">
        <v>1639</v>
      </c>
      <c r="C13">
        <v>1270</v>
      </c>
      <c r="D13">
        <v>270.89999999999998</v>
      </c>
    </row>
    <row r="14" spans="1:4">
      <c r="A14">
        <v>878</v>
      </c>
      <c r="B14">
        <v>1238</v>
      </c>
      <c r="C14">
        <v>1103</v>
      </c>
      <c r="D14">
        <v>263.39999999999998</v>
      </c>
    </row>
    <row r="15" spans="1:4">
      <c r="A15">
        <v>792</v>
      </c>
      <c r="B15">
        <v>1277</v>
      </c>
      <c r="C15">
        <v>1273</v>
      </c>
      <c r="D15">
        <v>260.60000000000002</v>
      </c>
    </row>
    <row r="16" spans="1:4">
      <c r="A16">
        <v>589</v>
      </c>
      <c r="B16">
        <v>1258</v>
      </c>
      <c r="C16">
        <v>1031</v>
      </c>
      <c r="D16">
        <v>231.9</v>
      </c>
    </row>
    <row r="17" spans="1:4">
      <c r="A17">
        <v>657</v>
      </c>
      <c r="B17">
        <v>1417</v>
      </c>
      <c r="C17">
        <v>1143</v>
      </c>
      <c r="D17">
        <v>242.7</v>
      </c>
    </row>
    <row r="18" spans="1:4">
      <c r="A18">
        <v>699</v>
      </c>
      <c r="B18">
        <v>1185</v>
      </c>
      <c r="C18">
        <v>1101</v>
      </c>
      <c r="D18">
        <v>248.6</v>
      </c>
    </row>
    <row r="19" spans="1:4">
      <c r="A19">
        <v>675</v>
      </c>
      <c r="B19">
        <v>1196</v>
      </c>
      <c r="C19">
        <v>1181</v>
      </c>
      <c r="D19">
        <v>258.7</v>
      </c>
    </row>
    <row r="20" spans="1:4">
      <c r="A20">
        <v>652</v>
      </c>
      <c r="B20">
        <v>1410</v>
      </c>
      <c r="C20">
        <v>1116</v>
      </c>
      <c r="D20">
        <v>248.4</v>
      </c>
    </row>
    <row r="21" spans="1:4">
      <c r="A21">
        <v>628</v>
      </c>
      <c r="B21">
        <v>1417</v>
      </c>
      <c r="C21">
        <v>1190</v>
      </c>
      <c r="D21">
        <v>255.5</v>
      </c>
    </row>
    <row r="22" spans="1:4">
      <c r="A22">
        <v>529</v>
      </c>
      <c r="B22">
        <v>919</v>
      </c>
      <c r="C22">
        <v>1125</v>
      </c>
      <c r="D22">
        <v>240.4</v>
      </c>
    </row>
    <row r="23" spans="1:4">
      <c r="A23">
        <v>480</v>
      </c>
      <c r="B23">
        <v>943</v>
      </c>
      <c r="C23">
        <v>1036</v>
      </c>
      <c r="D23">
        <v>247.7</v>
      </c>
    </row>
    <row r="24" spans="1:4">
      <c r="A24">
        <v>530</v>
      </c>
      <c r="B24">
        <v>1175</v>
      </c>
      <c r="C24">
        <v>1019</v>
      </c>
      <c r="D24">
        <v>249.1</v>
      </c>
    </row>
    <row r="25" spans="1:4">
      <c r="A25">
        <v>557</v>
      </c>
      <c r="B25">
        <v>1269</v>
      </c>
      <c r="C25">
        <v>1047</v>
      </c>
      <c r="D25">
        <v>251.8</v>
      </c>
    </row>
    <row r="26" spans="1:4">
      <c r="A26">
        <v>602</v>
      </c>
      <c r="B26">
        <v>973</v>
      </c>
      <c r="C26">
        <v>918</v>
      </c>
      <c r="D26">
        <v>262</v>
      </c>
    </row>
    <row r="27" spans="1:4">
      <c r="A27">
        <v>658</v>
      </c>
      <c r="B27">
        <v>1102</v>
      </c>
      <c r="C27">
        <v>1137</v>
      </c>
      <c r="D27">
        <v>263.3</v>
      </c>
    </row>
    <row r="28" spans="1:4">
      <c r="A28">
        <v>749</v>
      </c>
      <c r="B28">
        <v>1344</v>
      </c>
      <c r="C28">
        <v>1167</v>
      </c>
      <c r="D28">
        <v>280</v>
      </c>
    </row>
    <row r="29" spans="1:4">
      <c r="A29">
        <v>827</v>
      </c>
      <c r="B29">
        <v>1641</v>
      </c>
      <c r="C29">
        <v>1230</v>
      </c>
      <c r="D29">
        <v>288.5</v>
      </c>
    </row>
    <row r="30" spans="1:4">
      <c r="A30">
        <v>858</v>
      </c>
      <c r="B30">
        <v>1225</v>
      </c>
      <c r="C30">
        <v>1081</v>
      </c>
      <c r="D30">
        <v>300.5</v>
      </c>
    </row>
    <row r="31" spans="1:4">
      <c r="A31">
        <v>808</v>
      </c>
      <c r="B31">
        <v>1429</v>
      </c>
      <c r="C31">
        <v>1326</v>
      </c>
      <c r="D31">
        <v>312.60000000000002</v>
      </c>
    </row>
    <row r="32" spans="1:4">
      <c r="A32">
        <v>840</v>
      </c>
      <c r="B32">
        <v>1699</v>
      </c>
      <c r="C32">
        <v>1228</v>
      </c>
      <c r="D32">
        <v>322.5</v>
      </c>
    </row>
    <row r="33" spans="1:4">
      <c r="A33">
        <v>893</v>
      </c>
      <c r="B33">
        <v>1749</v>
      </c>
      <c r="C33">
        <v>1297</v>
      </c>
      <c r="D33">
        <v>324.3</v>
      </c>
    </row>
    <row r="34" spans="1:4">
      <c r="A34">
        <v>950</v>
      </c>
      <c r="B34">
        <v>1117</v>
      </c>
      <c r="C34">
        <v>1198</v>
      </c>
      <c r="D34">
        <v>333.1</v>
      </c>
    </row>
    <row r="35" spans="1:4">
      <c r="A35">
        <v>838</v>
      </c>
      <c r="B35">
        <v>1242</v>
      </c>
      <c r="C35">
        <v>1292</v>
      </c>
      <c r="D35">
        <v>344.8</v>
      </c>
    </row>
    <row r="36" spans="1:4">
      <c r="A36">
        <v>884</v>
      </c>
      <c r="B36">
        <v>1684</v>
      </c>
      <c r="C36">
        <v>1342</v>
      </c>
      <c r="D36">
        <v>350.3</v>
      </c>
    </row>
    <row r="37" spans="1:4">
      <c r="A37">
        <v>905</v>
      </c>
      <c r="B37">
        <v>1764</v>
      </c>
      <c r="C37">
        <v>1323</v>
      </c>
      <c r="D37">
        <v>369.1</v>
      </c>
    </row>
    <row r="38" spans="1:4">
      <c r="A38">
        <v>909</v>
      </c>
      <c r="B38">
        <v>1328</v>
      </c>
      <c r="C38">
        <v>1274</v>
      </c>
      <c r="D38">
        <v>356.4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A77F5-8EF2-4EE4-958B-1B0136DA1A8A}">
  <dimension ref="A1:E36"/>
  <sheetViews>
    <sheetView topLeftCell="A22" workbookViewId="0">
      <selection activeCell="E36" sqref="E36"/>
    </sheetView>
  </sheetViews>
  <sheetFormatPr defaultRowHeight="15"/>
  <sheetData>
    <row r="1" spans="1:5">
      <c r="A1" t="s">
        <v>618</v>
      </c>
    </row>
    <row r="2" spans="1:5">
      <c r="A2" t="s">
        <v>619</v>
      </c>
    </row>
    <row r="4" spans="1:5">
      <c r="A4" t="s">
        <v>615</v>
      </c>
      <c r="B4" t="s">
        <v>617</v>
      </c>
      <c r="C4" t="s">
        <v>554</v>
      </c>
      <c r="D4" t="s">
        <v>555</v>
      </c>
      <c r="E4" t="s">
        <v>620</v>
      </c>
    </row>
    <row r="5" spans="1:5">
      <c r="A5">
        <v>1317</v>
      </c>
      <c r="B5">
        <v>252.6</v>
      </c>
      <c r="C5">
        <v>0</v>
      </c>
      <c r="D5">
        <v>0</v>
      </c>
      <c r="E5">
        <v>0</v>
      </c>
    </row>
    <row r="6" spans="1:5">
      <c r="A6">
        <v>1615</v>
      </c>
      <c r="B6">
        <v>272.39999999999998</v>
      </c>
      <c r="C6">
        <v>1</v>
      </c>
      <c r="D6">
        <v>0</v>
      </c>
      <c r="E6">
        <v>0</v>
      </c>
    </row>
    <row r="7" spans="1:5">
      <c r="A7">
        <v>1662</v>
      </c>
      <c r="B7">
        <v>270.89999999999998</v>
      </c>
      <c r="C7">
        <v>0</v>
      </c>
      <c r="D7">
        <v>1</v>
      </c>
      <c r="E7">
        <v>0</v>
      </c>
    </row>
    <row r="8" spans="1:5">
      <c r="A8">
        <v>1295</v>
      </c>
      <c r="B8">
        <v>273.89999999999998</v>
      </c>
      <c r="C8">
        <v>0</v>
      </c>
      <c r="D8">
        <v>0</v>
      </c>
      <c r="E8">
        <v>1</v>
      </c>
    </row>
    <row r="9" spans="1:5">
      <c r="A9">
        <v>1271</v>
      </c>
      <c r="B9">
        <v>268.89999999999998</v>
      </c>
      <c r="C9">
        <v>0</v>
      </c>
      <c r="D9">
        <v>0</v>
      </c>
      <c r="E9">
        <v>0</v>
      </c>
    </row>
    <row r="10" spans="1:5">
      <c r="A10">
        <v>1555</v>
      </c>
      <c r="B10">
        <v>262.89999999999998</v>
      </c>
      <c r="C10">
        <v>1</v>
      </c>
      <c r="D10">
        <v>0</v>
      </c>
      <c r="E10">
        <v>0</v>
      </c>
    </row>
    <row r="11" spans="1:5">
      <c r="A11">
        <v>1639</v>
      </c>
      <c r="B11">
        <v>270.89999999999998</v>
      </c>
      <c r="C11">
        <v>0</v>
      </c>
      <c r="D11">
        <v>1</v>
      </c>
      <c r="E11">
        <v>0</v>
      </c>
    </row>
    <row r="12" spans="1:5">
      <c r="A12">
        <v>1238</v>
      </c>
      <c r="B12">
        <v>263.39999999999998</v>
      </c>
      <c r="C12">
        <v>0</v>
      </c>
      <c r="D12">
        <v>0</v>
      </c>
      <c r="E12">
        <v>1</v>
      </c>
    </row>
    <row r="13" spans="1:5">
      <c r="A13">
        <v>1277</v>
      </c>
      <c r="B13">
        <v>260.60000000000002</v>
      </c>
      <c r="C13">
        <v>0</v>
      </c>
      <c r="D13">
        <v>0</v>
      </c>
      <c r="E13">
        <v>0</v>
      </c>
    </row>
    <row r="14" spans="1:5">
      <c r="A14">
        <v>1258</v>
      </c>
      <c r="B14">
        <v>231.9</v>
      </c>
      <c r="C14">
        <v>1</v>
      </c>
      <c r="D14">
        <v>0</v>
      </c>
      <c r="E14">
        <v>0</v>
      </c>
    </row>
    <row r="15" spans="1:5">
      <c r="A15">
        <v>1417</v>
      </c>
      <c r="B15">
        <v>242.7</v>
      </c>
      <c r="C15">
        <v>0</v>
      </c>
      <c r="D15">
        <v>1</v>
      </c>
      <c r="E15">
        <v>0</v>
      </c>
    </row>
    <row r="16" spans="1:5">
      <c r="A16">
        <v>1185</v>
      </c>
      <c r="B16">
        <v>248.6</v>
      </c>
      <c r="C16">
        <v>0</v>
      </c>
      <c r="D16">
        <v>0</v>
      </c>
      <c r="E16">
        <v>1</v>
      </c>
    </row>
    <row r="17" spans="1:5">
      <c r="A17">
        <v>1196</v>
      </c>
      <c r="B17">
        <v>258.7</v>
      </c>
      <c r="C17">
        <v>0</v>
      </c>
      <c r="D17">
        <v>0</v>
      </c>
      <c r="E17">
        <v>0</v>
      </c>
    </row>
    <row r="18" spans="1:5">
      <c r="A18">
        <v>1410</v>
      </c>
      <c r="B18">
        <v>248.4</v>
      </c>
      <c r="C18">
        <v>1</v>
      </c>
      <c r="D18">
        <v>0</v>
      </c>
      <c r="E18">
        <v>0</v>
      </c>
    </row>
    <row r="19" spans="1:5">
      <c r="A19">
        <v>1417</v>
      </c>
      <c r="B19">
        <v>255.5</v>
      </c>
      <c r="C19">
        <v>0</v>
      </c>
      <c r="D19">
        <v>1</v>
      </c>
      <c r="E19">
        <v>0</v>
      </c>
    </row>
    <row r="20" spans="1:5">
      <c r="A20">
        <v>919</v>
      </c>
      <c r="B20">
        <v>240.4</v>
      </c>
      <c r="C20">
        <v>0</v>
      </c>
      <c r="D20">
        <v>0</v>
      </c>
      <c r="E20">
        <v>1</v>
      </c>
    </row>
    <row r="21" spans="1:5">
      <c r="A21">
        <v>943</v>
      </c>
      <c r="B21">
        <v>247.7</v>
      </c>
      <c r="C21">
        <v>0</v>
      </c>
      <c r="D21">
        <v>0</v>
      </c>
      <c r="E21">
        <v>0</v>
      </c>
    </row>
    <row r="22" spans="1:5">
      <c r="A22">
        <v>1175</v>
      </c>
      <c r="B22">
        <v>249.1</v>
      </c>
      <c r="C22">
        <v>1</v>
      </c>
      <c r="D22">
        <v>0</v>
      </c>
      <c r="E22">
        <v>0</v>
      </c>
    </row>
    <row r="23" spans="1:5">
      <c r="A23">
        <v>1269</v>
      </c>
      <c r="B23">
        <v>251.8</v>
      </c>
      <c r="C23">
        <v>0</v>
      </c>
      <c r="D23">
        <v>1</v>
      </c>
      <c r="E23">
        <v>0</v>
      </c>
    </row>
    <row r="24" spans="1:5">
      <c r="A24">
        <v>973</v>
      </c>
      <c r="B24">
        <v>262</v>
      </c>
      <c r="C24">
        <v>0</v>
      </c>
      <c r="D24">
        <v>0</v>
      </c>
      <c r="E24">
        <v>1</v>
      </c>
    </row>
    <row r="25" spans="1:5">
      <c r="A25">
        <v>1102</v>
      </c>
      <c r="B25">
        <v>263.3</v>
      </c>
      <c r="C25">
        <v>0</v>
      </c>
      <c r="D25">
        <v>0</v>
      </c>
      <c r="E25">
        <v>0</v>
      </c>
    </row>
    <row r="26" spans="1:5">
      <c r="A26">
        <v>1344</v>
      </c>
      <c r="B26">
        <v>280</v>
      </c>
      <c r="C26">
        <v>1</v>
      </c>
      <c r="D26">
        <v>0</v>
      </c>
      <c r="E26">
        <v>0</v>
      </c>
    </row>
    <row r="27" spans="1:5">
      <c r="A27">
        <v>1641</v>
      </c>
      <c r="B27">
        <v>288.5</v>
      </c>
      <c r="C27">
        <v>0</v>
      </c>
      <c r="D27">
        <v>1</v>
      </c>
      <c r="E27">
        <v>0</v>
      </c>
    </row>
    <row r="28" spans="1:5">
      <c r="A28">
        <v>1225</v>
      </c>
      <c r="B28">
        <v>300.5</v>
      </c>
      <c r="C28">
        <v>0</v>
      </c>
      <c r="D28">
        <v>0</v>
      </c>
      <c r="E28">
        <v>1</v>
      </c>
    </row>
    <row r="29" spans="1:5">
      <c r="A29">
        <v>1429</v>
      </c>
      <c r="B29">
        <v>312.60000000000002</v>
      </c>
      <c r="C29">
        <v>0</v>
      </c>
      <c r="D29">
        <v>0</v>
      </c>
      <c r="E29">
        <v>0</v>
      </c>
    </row>
    <row r="30" spans="1:5">
      <c r="A30">
        <v>1699</v>
      </c>
      <c r="B30">
        <v>322.5</v>
      </c>
      <c r="C30">
        <v>1</v>
      </c>
      <c r="D30">
        <v>0</v>
      </c>
      <c r="E30">
        <v>0</v>
      </c>
    </row>
    <row r="31" spans="1:5">
      <c r="A31">
        <v>1749</v>
      </c>
      <c r="B31">
        <v>324.3</v>
      </c>
      <c r="C31">
        <v>0</v>
      </c>
      <c r="D31">
        <v>1</v>
      </c>
      <c r="E31">
        <v>0</v>
      </c>
    </row>
    <row r="32" spans="1:5">
      <c r="A32">
        <v>1117</v>
      </c>
      <c r="B32">
        <v>333.1</v>
      </c>
      <c r="C32">
        <v>0</v>
      </c>
      <c r="D32">
        <v>0</v>
      </c>
      <c r="E32">
        <v>1</v>
      </c>
    </row>
    <row r="33" spans="1:5">
      <c r="A33">
        <v>1242</v>
      </c>
      <c r="B33">
        <v>344.8</v>
      </c>
      <c r="C33">
        <v>0</v>
      </c>
      <c r="D33">
        <v>0</v>
      </c>
      <c r="E33">
        <v>0</v>
      </c>
    </row>
    <row r="34" spans="1:5">
      <c r="A34">
        <v>1684</v>
      </c>
      <c r="B34">
        <v>350.3</v>
      </c>
      <c r="C34">
        <v>1</v>
      </c>
      <c r="D34">
        <v>0</v>
      </c>
      <c r="E34">
        <v>0</v>
      </c>
    </row>
    <row r="35" spans="1:5">
      <c r="A35">
        <v>1764</v>
      </c>
      <c r="B35">
        <v>369.1</v>
      </c>
      <c r="C35">
        <v>0</v>
      </c>
      <c r="D35">
        <v>1</v>
      </c>
      <c r="E35">
        <v>0</v>
      </c>
    </row>
    <row r="36" spans="1:5">
      <c r="A36">
        <v>1328</v>
      </c>
      <c r="B36">
        <v>356.4</v>
      </c>
      <c r="C36">
        <v>0</v>
      </c>
      <c r="D36">
        <v>0</v>
      </c>
      <c r="E36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E8E5-7ADB-4A69-8761-DC0B2E092A07}">
  <dimension ref="A1:B15"/>
  <sheetViews>
    <sheetView workbookViewId="0">
      <selection activeCell="B15" sqref="B15"/>
    </sheetView>
  </sheetViews>
  <sheetFormatPr defaultRowHeight="15"/>
  <sheetData>
    <row r="1" spans="1:2">
      <c r="A1" t="s">
        <v>621</v>
      </c>
    </row>
    <row r="2" spans="1:2">
      <c r="A2" t="s">
        <v>622</v>
      </c>
    </row>
    <row r="3" spans="1:2">
      <c r="A3" t="s">
        <v>623</v>
      </c>
    </row>
    <row r="5" spans="1:2">
      <c r="A5" t="s">
        <v>624</v>
      </c>
      <c r="B5" t="s">
        <v>625</v>
      </c>
    </row>
    <row r="6" spans="1:2">
      <c r="A6">
        <v>256</v>
      </c>
      <c r="B6">
        <v>1000</v>
      </c>
    </row>
    <row r="7" spans="1:2">
      <c r="A7">
        <v>414</v>
      </c>
      <c r="B7">
        <v>2000</v>
      </c>
    </row>
    <row r="8" spans="1:2">
      <c r="A8">
        <v>634</v>
      </c>
      <c r="B8">
        <v>3000</v>
      </c>
    </row>
    <row r="9" spans="1:2">
      <c r="A9">
        <v>778</v>
      </c>
      <c r="B9">
        <v>4000</v>
      </c>
    </row>
    <row r="10" spans="1:2">
      <c r="A10">
        <v>1003</v>
      </c>
      <c r="B10">
        <v>5000</v>
      </c>
    </row>
    <row r="11" spans="1:2">
      <c r="A11">
        <v>1839</v>
      </c>
      <c r="B11">
        <v>6000</v>
      </c>
    </row>
    <row r="12" spans="1:2">
      <c r="A12">
        <v>2081</v>
      </c>
      <c r="B12">
        <v>7000</v>
      </c>
    </row>
    <row r="13" spans="1:2">
      <c r="A13">
        <v>2423</v>
      </c>
      <c r="B13">
        <v>8000</v>
      </c>
    </row>
    <row r="14" spans="1:2">
      <c r="A14">
        <v>2734</v>
      </c>
      <c r="B14">
        <v>9000</v>
      </c>
    </row>
    <row r="15" spans="1:2">
      <c r="A15">
        <v>2914</v>
      </c>
      <c r="B15">
        <v>10000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5F45-CB35-45AA-AACD-0F354AC23FCA}">
  <dimension ref="A1:G117"/>
  <sheetViews>
    <sheetView topLeftCell="A106" workbookViewId="0">
      <selection activeCell="G117" sqref="G117"/>
    </sheetView>
  </sheetViews>
  <sheetFormatPr defaultRowHeight="15"/>
  <sheetData>
    <row r="1" spans="1:7">
      <c r="A1" t="s">
        <v>626</v>
      </c>
    </row>
    <row r="3" spans="1:7">
      <c r="A3" t="s">
        <v>60</v>
      </c>
      <c r="B3" t="s">
        <v>627</v>
      </c>
      <c r="C3" t="s">
        <v>628</v>
      </c>
      <c r="D3" t="s">
        <v>629</v>
      </c>
      <c r="E3" t="s">
        <v>630</v>
      </c>
      <c r="F3" t="s">
        <v>631</v>
      </c>
      <c r="G3" t="s">
        <v>632</v>
      </c>
    </row>
    <row r="4" spans="1:7">
      <c r="A4">
        <v>120</v>
      </c>
      <c r="B4">
        <v>57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>
        <v>224</v>
      </c>
      <c r="B5">
        <v>48</v>
      </c>
      <c r="C5">
        <v>0</v>
      </c>
      <c r="D5">
        <v>0</v>
      </c>
      <c r="E5">
        <v>1</v>
      </c>
      <c r="F5">
        <v>1</v>
      </c>
      <c r="G5">
        <v>0</v>
      </c>
    </row>
    <row r="6" spans="1:7">
      <c r="A6">
        <v>132</v>
      </c>
      <c r="B6">
        <v>38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>
        <v>75</v>
      </c>
      <c r="B7">
        <v>27</v>
      </c>
      <c r="C7">
        <v>0</v>
      </c>
      <c r="D7">
        <v>1</v>
      </c>
      <c r="E7">
        <v>0</v>
      </c>
      <c r="F7">
        <v>0</v>
      </c>
      <c r="G7">
        <v>0</v>
      </c>
    </row>
    <row r="8" spans="1:7">
      <c r="A8">
        <v>111</v>
      </c>
      <c r="B8">
        <v>23</v>
      </c>
      <c r="C8">
        <v>0</v>
      </c>
      <c r="D8">
        <v>1</v>
      </c>
      <c r="E8">
        <v>0</v>
      </c>
      <c r="F8">
        <v>0</v>
      </c>
      <c r="G8">
        <v>1</v>
      </c>
    </row>
    <row r="9" spans="1:7">
      <c r="A9">
        <v>127</v>
      </c>
      <c r="B9">
        <v>22</v>
      </c>
      <c r="C9">
        <v>0</v>
      </c>
      <c r="D9">
        <v>1</v>
      </c>
      <c r="E9">
        <v>0</v>
      </c>
      <c r="F9">
        <v>0</v>
      </c>
      <c r="G9">
        <v>0</v>
      </c>
    </row>
    <row r="10" spans="1:7">
      <c r="A10">
        <v>30</v>
      </c>
      <c r="B10">
        <v>18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>
        <v>24</v>
      </c>
      <c r="B11">
        <v>12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>
        <v>119</v>
      </c>
      <c r="B12">
        <v>38</v>
      </c>
      <c r="C12">
        <v>0</v>
      </c>
      <c r="D12">
        <v>0</v>
      </c>
      <c r="E12">
        <v>0</v>
      </c>
      <c r="F12">
        <v>1</v>
      </c>
      <c r="G12">
        <v>0</v>
      </c>
    </row>
    <row r="13" spans="1:7">
      <c r="A13">
        <v>75</v>
      </c>
      <c r="B13">
        <v>55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>
        <v>324</v>
      </c>
      <c r="B14">
        <v>26</v>
      </c>
      <c r="C14">
        <v>0</v>
      </c>
      <c r="D14">
        <v>1</v>
      </c>
      <c r="E14">
        <v>0</v>
      </c>
      <c r="F14">
        <v>0</v>
      </c>
      <c r="G14">
        <v>0</v>
      </c>
    </row>
    <row r="15" spans="1:7">
      <c r="A15">
        <v>42</v>
      </c>
      <c r="B15">
        <v>18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>
        <v>100</v>
      </c>
      <c r="B16">
        <v>32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>
        <v>136</v>
      </c>
      <c r="B17">
        <v>41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>
        <v>107</v>
      </c>
      <c r="B18">
        <v>48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>
        <v>50</v>
      </c>
      <c r="B19">
        <v>16</v>
      </c>
      <c r="C19">
        <v>1</v>
      </c>
      <c r="D19">
        <v>0</v>
      </c>
      <c r="E19">
        <v>0</v>
      </c>
      <c r="F19">
        <v>0</v>
      </c>
      <c r="G19">
        <v>1</v>
      </c>
    </row>
    <row r="20" spans="1:7">
      <c r="A20">
        <v>90</v>
      </c>
      <c r="B20">
        <v>45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>
        <v>377</v>
      </c>
      <c r="B21">
        <v>46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>
      <c r="A22">
        <v>150</v>
      </c>
      <c r="B22">
        <v>30</v>
      </c>
      <c r="C22">
        <v>0</v>
      </c>
      <c r="D22">
        <v>1</v>
      </c>
      <c r="E22">
        <v>0</v>
      </c>
      <c r="F22">
        <v>0</v>
      </c>
      <c r="G22">
        <v>0</v>
      </c>
    </row>
    <row r="23" spans="1:7">
      <c r="A23">
        <v>162</v>
      </c>
      <c r="B23">
        <v>40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>
        <v>18</v>
      </c>
      <c r="B24">
        <v>19</v>
      </c>
      <c r="C24">
        <v>1</v>
      </c>
      <c r="D24">
        <v>0</v>
      </c>
      <c r="E24">
        <v>0</v>
      </c>
      <c r="F24">
        <v>0</v>
      </c>
      <c r="G24">
        <v>0</v>
      </c>
    </row>
    <row r="25" spans="1:7">
      <c r="A25">
        <v>128</v>
      </c>
      <c r="B25">
        <v>25</v>
      </c>
      <c r="C25">
        <v>1</v>
      </c>
      <c r="D25">
        <v>0</v>
      </c>
      <c r="E25">
        <v>0</v>
      </c>
      <c r="F25">
        <v>0</v>
      </c>
      <c r="G25">
        <v>0</v>
      </c>
    </row>
    <row r="26" spans="1:7">
      <c r="A26">
        <v>47.5</v>
      </c>
      <c r="B26">
        <v>46</v>
      </c>
      <c r="C26">
        <v>0</v>
      </c>
      <c r="D26">
        <v>0</v>
      </c>
      <c r="E26">
        <v>0</v>
      </c>
      <c r="F26">
        <v>0</v>
      </c>
      <c r="G26">
        <v>1</v>
      </c>
    </row>
    <row r="27" spans="1:7">
      <c r="A27">
        <v>135</v>
      </c>
      <c r="B27">
        <v>25</v>
      </c>
      <c r="C27">
        <v>0</v>
      </c>
      <c r="D27">
        <v>1</v>
      </c>
      <c r="E27">
        <v>0</v>
      </c>
      <c r="F27">
        <v>0</v>
      </c>
      <c r="G27">
        <v>0</v>
      </c>
    </row>
    <row r="28" spans="1:7">
      <c r="A28">
        <v>400</v>
      </c>
      <c r="B28">
        <v>57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>
      <c r="A29">
        <v>91.8</v>
      </c>
      <c r="B29">
        <v>35</v>
      </c>
      <c r="C29">
        <v>0</v>
      </c>
      <c r="D29">
        <v>0</v>
      </c>
      <c r="E29">
        <v>1</v>
      </c>
      <c r="F29">
        <v>1</v>
      </c>
      <c r="G29">
        <v>0</v>
      </c>
    </row>
    <row r="30" spans="1:7">
      <c r="A30">
        <v>140</v>
      </c>
      <c r="B30">
        <v>44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>
      <c r="A31">
        <v>49.2</v>
      </c>
      <c r="B31">
        <v>22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>
        <v>30</v>
      </c>
      <c r="B32">
        <v>19</v>
      </c>
      <c r="C32">
        <v>1</v>
      </c>
      <c r="D32">
        <v>0</v>
      </c>
      <c r="E32">
        <v>0</v>
      </c>
      <c r="F32">
        <v>0</v>
      </c>
      <c r="G32">
        <v>0</v>
      </c>
    </row>
    <row r="33" spans="1:7">
      <c r="A33">
        <v>40.5</v>
      </c>
      <c r="B33">
        <v>37</v>
      </c>
      <c r="C33">
        <v>0</v>
      </c>
      <c r="D33">
        <v>0</v>
      </c>
      <c r="E33">
        <v>0</v>
      </c>
      <c r="F33">
        <v>0</v>
      </c>
      <c r="G33">
        <v>1</v>
      </c>
    </row>
    <row r="34" spans="1:7">
      <c r="A34">
        <v>81</v>
      </c>
      <c r="B34">
        <v>20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>
        <v>105</v>
      </c>
      <c r="B35">
        <v>40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>
        <v>200</v>
      </c>
      <c r="B36">
        <v>30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>
        <v>140</v>
      </c>
      <c r="B37">
        <v>30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>
      <c r="A38">
        <v>80</v>
      </c>
      <c r="B38">
        <v>26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>
        <v>47</v>
      </c>
      <c r="B39">
        <v>41</v>
      </c>
      <c r="C39">
        <v>0</v>
      </c>
      <c r="D39">
        <v>0</v>
      </c>
      <c r="E39">
        <v>0</v>
      </c>
      <c r="F39">
        <v>0</v>
      </c>
      <c r="G39">
        <v>1</v>
      </c>
    </row>
    <row r="40" spans="1:7">
      <c r="A40">
        <v>125</v>
      </c>
      <c r="B40">
        <v>22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>
        <v>500</v>
      </c>
      <c r="B41">
        <v>21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>
        <v>100</v>
      </c>
      <c r="B42">
        <v>19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>
        <v>105</v>
      </c>
      <c r="B43">
        <v>35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>
        <v>300</v>
      </c>
      <c r="B44">
        <v>35</v>
      </c>
      <c r="C44">
        <v>0</v>
      </c>
      <c r="D44">
        <v>1</v>
      </c>
      <c r="E44">
        <v>0</v>
      </c>
      <c r="F44">
        <v>1</v>
      </c>
      <c r="G44">
        <v>0</v>
      </c>
    </row>
    <row r="45" spans="1:7">
      <c r="A45">
        <v>115</v>
      </c>
      <c r="B45">
        <v>33</v>
      </c>
      <c r="C45">
        <v>0</v>
      </c>
      <c r="D45">
        <v>1</v>
      </c>
      <c r="E45">
        <v>0</v>
      </c>
      <c r="F45">
        <v>1</v>
      </c>
      <c r="G45">
        <v>1</v>
      </c>
    </row>
    <row r="46" spans="1:7">
      <c r="A46">
        <v>103</v>
      </c>
      <c r="B46">
        <v>27</v>
      </c>
      <c r="C46">
        <v>0</v>
      </c>
      <c r="D46">
        <v>0</v>
      </c>
      <c r="E46">
        <v>1</v>
      </c>
      <c r="F46">
        <v>1</v>
      </c>
      <c r="G46">
        <v>1</v>
      </c>
    </row>
    <row r="47" spans="1:7">
      <c r="A47">
        <v>190</v>
      </c>
      <c r="B47">
        <v>62</v>
      </c>
      <c r="C47">
        <v>1</v>
      </c>
      <c r="D47">
        <v>0</v>
      </c>
      <c r="E47">
        <v>0</v>
      </c>
      <c r="F47">
        <v>0</v>
      </c>
      <c r="G47">
        <v>0</v>
      </c>
    </row>
    <row r="48" spans="1:7">
      <c r="A48">
        <v>62.5</v>
      </c>
      <c r="B48">
        <v>18</v>
      </c>
      <c r="C48">
        <v>0</v>
      </c>
      <c r="D48">
        <v>1</v>
      </c>
      <c r="E48">
        <v>0</v>
      </c>
      <c r="F48">
        <v>0</v>
      </c>
      <c r="G48">
        <v>0</v>
      </c>
    </row>
    <row r="49" spans="1:7">
      <c r="A49">
        <v>50</v>
      </c>
      <c r="B49">
        <v>25</v>
      </c>
      <c r="C49">
        <v>1</v>
      </c>
      <c r="D49">
        <v>0</v>
      </c>
      <c r="E49">
        <v>0</v>
      </c>
      <c r="F49">
        <v>0</v>
      </c>
      <c r="G49">
        <v>0</v>
      </c>
    </row>
    <row r="50" spans="1:7">
      <c r="A50">
        <v>273</v>
      </c>
      <c r="B50">
        <v>43</v>
      </c>
      <c r="C50">
        <v>0</v>
      </c>
      <c r="D50">
        <v>0</v>
      </c>
      <c r="E50">
        <v>1</v>
      </c>
      <c r="F50">
        <v>1</v>
      </c>
      <c r="G50">
        <v>1</v>
      </c>
    </row>
    <row r="51" spans="1:7">
      <c r="A51">
        <v>175</v>
      </c>
      <c r="B51">
        <v>40</v>
      </c>
      <c r="C51">
        <v>0</v>
      </c>
      <c r="D51">
        <v>1</v>
      </c>
      <c r="E51">
        <v>0</v>
      </c>
      <c r="F51">
        <v>1</v>
      </c>
      <c r="G51">
        <v>0</v>
      </c>
    </row>
    <row r="52" spans="1:7">
      <c r="A52">
        <v>117</v>
      </c>
      <c r="B52">
        <v>26</v>
      </c>
      <c r="C52">
        <v>1</v>
      </c>
      <c r="D52">
        <v>0</v>
      </c>
      <c r="E52">
        <v>0</v>
      </c>
      <c r="F52">
        <v>1</v>
      </c>
      <c r="G52">
        <v>0</v>
      </c>
    </row>
    <row r="53" spans="1:7">
      <c r="A53">
        <v>950</v>
      </c>
      <c r="B53">
        <v>47</v>
      </c>
      <c r="C53">
        <v>0</v>
      </c>
      <c r="D53">
        <v>0</v>
      </c>
      <c r="E53">
        <v>1</v>
      </c>
      <c r="F53">
        <v>0</v>
      </c>
      <c r="G53">
        <v>0</v>
      </c>
    </row>
    <row r="54" spans="1:7">
      <c r="A54">
        <v>100</v>
      </c>
      <c r="B54">
        <v>30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>
        <v>140</v>
      </c>
      <c r="B55">
        <v>30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>
        <v>97</v>
      </c>
      <c r="B56">
        <v>25</v>
      </c>
      <c r="C56">
        <v>0</v>
      </c>
      <c r="D56">
        <v>1</v>
      </c>
      <c r="E56">
        <v>0</v>
      </c>
      <c r="F56">
        <v>0</v>
      </c>
      <c r="G56">
        <v>0</v>
      </c>
    </row>
    <row r="57" spans="1:7">
      <c r="A57">
        <v>150</v>
      </c>
      <c r="B57">
        <v>36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>
        <v>25</v>
      </c>
      <c r="B58">
        <v>28</v>
      </c>
      <c r="C58">
        <v>0</v>
      </c>
      <c r="D58">
        <v>0</v>
      </c>
      <c r="E58">
        <v>0</v>
      </c>
      <c r="F58">
        <v>0</v>
      </c>
      <c r="G58">
        <v>1</v>
      </c>
    </row>
    <row r="59" spans="1:7">
      <c r="A59">
        <v>15</v>
      </c>
      <c r="B59">
        <v>13</v>
      </c>
      <c r="C59">
        <v>0</v>
      </c>
      <c r="D59">
        <v>0</v>
      </c>
      <c r="E59">
        <v>0</v>
      </c>
      <c r="F59">
        <v>0</v>
      </c>
      <c r="G59">
        <v>1</v>
      </c>
    </row>
    <row r="60" spans="1:7">
      <c r="A60">
        <v>131</v>
      </c>
      <c r="B60">
        <v>55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>
        <v>120</v>
      </c>
      <c r="B61">
        <v>21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>
        <v>25</v>
      </c>
      <c r="B62">
        <v>18</v>
      </c>
      <c r="C62">
        <v>0</v>
      </c>
      <c r="D62">
        <v>0</v>
      </c>
      <c r="E62">
        <v>0</v>
      </c>
      <c r="F62">
        <v>0</v>
      </c>
      <c r="G62">
        <v>1</v>
      </c>
    </row>
    <row r="63" spans="1:7">
      <c r="A63">
        <v>25</v>
      </c>
      <c r="B63">
        <v>11</v>
      </c>
      <c r="C63">
        <v>0</v>
      </c>
      <c r="D63">
        <v>0</v>
      </c>
      <c r="E63">
        <v>0</v>
      </c>
      <c r="F63">
        <v>0</v>
      </c>
      <c r="G63">
        <v>1</v>
      </c>
    </row>
    <row r="64" spans="1:7">
      <c r="A64">
        <v>30</v>
      </c>
      <c r="B64">
        <v>38</v>
      </c>
      <c r="C64">
        <v>0</v>
      </c>
      <c r="D64">
        <v>0</v>
      </c>
      <c r="E64">
        <v>0</v>
      </c>
      <c r="F64">
        <v>1</v>
      </c>
      <c r="G64">
        <v>1</v>
      </c>
    </row>
    <row r="65" spans="1:7">
      <c r="A65">
        <v>30</v>
      </c>
      <c r="B65">
        <v>17</v>
      </c>
      <c r="C65">
        <v>0</v>
      </c>
      <c r="D65">
        <v>0</v>
      </c>
      <c r="E65">
        <v>0</v>
      </c>
      <c r="F65">
        <v>1</v>
      </c>
      <c r="G65">
        <v>1</v>
      </c>
    </row>
    <row r="66" spans="1:7">
      <c r="A66">
        <v>122</v>
      </c>
      <c r="B66">
        <v>20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>
        <v>288</v>
      </c>
      <c r="B67">
        <v>50</v>
      </c>
      <c r="C67">
        <v>0</v>
      </c>
      <c r="D67">
        <v>1</v>
      </c>
      <c r="E67">
        <v>0</v>
      </c>
      <c r="F67">
        <v>1</v>
      </c>
      <c r="G67">
        <v>0</v>
      </c>
    </row>
    <row r="68" spans="1:7">
      <c r="A68">
        <v>75</v>
      </c>
      <c r="B68">
        <v>45</v>
      </c>
      <c r="C68">
        <v>0</v>
      </c>
      <c r="D68">
        <v>0</v>
      </c>
      <c r="E68">
        <v>0</v>
      </c>
      <c r="F68">
        <v>0</v>
      </c>
      <c r="G68">
        <v>1</v>
      </c>
    </row>
    <row r="69" spans="1:7">
      <c r="A69">
        <v>79</v>
      </c>
      <c r="B69">
        <v>60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>
        <v>85.3</v>
      </c>
      <c r="B70">
        <v>26</v>
      </c>
      <c r="C70">
        <v>1</v>
      </c>
      <c r="D70">
        <v>0</v>
      </c>
      <c r="E70">
        <v>0</v>
      </c>
      <c r="F70">
        <v>0</v>
      </c>
      <c r="G70">
        <v>1</v>
      </c>
    </row>
    <row r="71" spans="1:7">
      <c r="A71">
        <v>350</v>
      </c>
      <c r="B71">
        <v>42</v>
      </c>
      <c r="C71">
        <v>0</v>
      </c>
      <c r="D71">
        <v>1</v>
      </c>
      <c r="E71">
        <v>0</v>
      </c>
      <c r="F71">
        <v>1</v>
      </c>
      <c r="G71">
        <v>0</v>
      </c>
    </row>
    <row r="72" spans="1:7">
      <c r="A72">
        <v>54</v>
      </c>
      <c r="B72">
        <v>62</v>
      </c>
      <c r="C72">
        <v>0</v>
      </c>
      <c r="D72">
        <v>0</v>
      </c>
      <c r="E72">
        <v>0</v>
      </c>
      <c r="F72">
        <v>1</v>
      </c>
      <c r="G72">
        <v>0</v>
      </c>
    </row>
    <row r="73" spans="1:7">
      <c r="A73">
        <v>110</v>
      </c>
      <c r="B73">
        <v>23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>
        <v>342</v>
      </c>
      <c r="B74">
        <v>56</v>
      </c>
      <c r="C74">
        <v>0</v>
      </c>
      <c r="D74">
        <v>0</v>
      </c>
      <c r="E74">
        <v>0</v>
      </c>
      <c r="F74">
        <v>1</v>
      </c>
      <c r="G74">
        <v>0</v>
      </c>
    </row>
    <row r="75" spans="1:7">
      <c r="A75">
        <v>77.5</v>
      </c>
      <c r="B75">
        <v>19</v>
      </c>
      <c r="C75">
        <v>0</v>
      </c>
      <c r="D75">
        <v>0</v>
      </c>
      <c r="E75">
        <v>0</v>
      </c>
      <c r="F75">
        <v>1</v>
      </c>
      <c r="G75">
        <v>0</v>
      </c>
    </row>
    <row r="76" spans="1:7">
      <c r="A76">
        <v>370</v>
      </c>
      <c r="B76">
        <v>46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>
        <v>156</v>
      </c>
      <c r="B77">
        <v>26</v>
      </c>
      <c r="C77">
        <v>0</v>
      </c>
      <c r="D77">
        <v>0</v>
      </c>
      <c r="E77">
        <v>0</v>
      </c>
      <c r="F77">
        <v>1</v>
      </c>
      <c r="G77">
        <v>0</v>
      </c>
    </row>
    <row r="78" spans="1:7">
      <c r="A78">
        <v>261</v>
      </c>
      <c r="B78">
        <v>23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>
        <v>54</v>
      </c>
      <c r="B79">
        <v>16</v>
      </c>
      <c r="C79">
        <v>0</v>
      </c>
      <c r="D79">
        <v>1</v>
      </c>
      <c r="E79">
        <v>0</v>
      </c>
      <c r="F79">
        <v>0</v>
      </c>
      <c r="G79">
        <v>0</v>
      </c>
    </row>
    <row r="80" spans="1:7">
      <c r="A80">
        <v>130</v>
      </c>
      <c r="B80">
        <v>33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>
        <v>112</v>
      </c>
      <c r="B81">
        <v>27</v>
      </c>
      <c r="C81">
        <v>1</v>
      </c>
      <c r="D81">
        <v>0</v>
      </c>
      <c r="E81">
        <v>0</v>
      </c>
      <c r="F81">
        <v>0</v>
      </c>
      <c r="G81">
        <v>0</v>
      </c>
    </row>
    <row r="82" spans="1:7">
      <c r="A82">
        <v>82</v>
      </c>
      <c r="B82">
        <v>22</v>
      </c>
      <c r="C82">
        <v>1</v>
      </c>
      <c r="D82">
        <v>0</v>
      </c>
      <c r="E82">
        <v>0</v>
      </c>
      <c r="F82">
        <v>0</v>
      </c>
      <c r="G82">
        <v>0</v>
      </c>
    </row>
    <row r="83" spans="1:7">
      <c r="A83">
        <v>385</v>
      </c>
      <c r="B83">
        <v>30</v>
      </c>
      <c r="C83">
        <v>0</v>
      </c>
      <c r="D83">
        <v>1</v>
      </c>
      <c r="E83">
        <v>0</v>
      </c>
      <c r="F83">
        <v>1</v>
      </c>
      <c r="G83">
        <v>0</v>
      </c>
    </row>
    <row r="84" spans="1:7">
      <c r="A84">
        <v>94.3</v>
      </c>
      <c r="B84">
        <v>22</v>
      </c>
      <c r="C84">
        <v>0</v>
      </c>
      <c r="D84">
        <v>0</v>
      </c>
      <c r="E84">
        <v>1</v>
      </c>
      <c r="F84">
        <v>1</v>
      </c>
      <c r="G84">
        <v>1</v>
      </c>
    </row>
    <row r="85" spans="1:7">
      <c r="A85">
        <v>350</v>
      </c>
      <c r="B85">
        <v>57</v>
      </c>
      <c r="C85">
        <v>0</v>
      </c>
      <c r="D85">
        <v>0</v>
      </c>
      <c r="E85">
        <v>0</v>
      </c>
      <c r="F85">
        <v>1</v>
      </c>
      <c r="G85">
        <v>0</v>
      </c>
    </row>
    <row r="86" spans="1:7">
      <c r="A86">
        <v>108</v>
      </c>
      <c r="B86">
        <v>26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>
        <v>20</v>
      </c>
      <c r="B87">
        <v>14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>
        <v>53.8</v>
      </c>
      <c r="B88">
        <v>14</v>
      </c>
      <c r="C88">
        <v>0</v>
      </c>
      <c r="D88">
        <v>0</v>
      </c>
      <c r="E88">
        <v>0</v>
      </c>
      <c r="F88">
        <v>0</v>
      </c>
      <c r="G88">
        <v>1</v>
      </c>
    </row>
    <row r="89" spans="1:7">
      <c r="A89">
        <v>427</v>
      </c>
      <c r="B89">
        <v>55</v>
      </c>
      <c r="C89">
        <v>0</v>
      </c>
      <c r="D89">
        <v>0</v>
      </c>
      <c r="E89">
        <v>0</v>
      </c>
      <c r="F89">
        <v>1</v>
      </c>
      <c r="G89">
        <v>0</v>
      </c>
    </row>
    <row r="90" spans="1:7">
      <c r="A90">
        <v>18</v>
      </c>
      <c r="B90">
        <v>12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>
        <v>120</v>
      </c>
      <c r="B91">
        <v>38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>
        <v>40.5</v>
      </c>
      <c r="B92">
        <v>17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>
        <v>375</v>
      </c>
      <c r="B93">
        <v>42</v>
      </c>
      <c r="C93">
        <v>1</v>
      </c>
      <c r="D93">
        <v>0</v>
      </c>
      <c r="E93">
        <v>0</v>
      </c>
      <c r="F93">
        <v>1</v>
      </c>
      <c r="G93">
        <v>0</v>
      </c>
    </row>
    <row r="94" spans="1:7">
      <c r="A94">
        <v>120</v>
      </c>
      <c r="B94">
        <v>34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>
        <v>175</v>
      </c>
      <c r="B95">
        <v>33</v>
      </c>
      <c r="C95">
        <v>1</v>
      </c>
      <c r="D95">
        <v>0</v>
      </c>
      <c r="E95">
        <v>0</v>
      </c>
      <c r="F95">
        <v>1</v>
      </c>
      <c r="G95">
        <v>0</v>
      </c>
    </row>
    <row r="96" spans="1:7">
      <c r="A96">
        <v>50</v>
      </c>
      <c r="B96">
        <v>26</v>
      </c>
      <c r="C96">
        <v>0</v>
      </c>
      <c r="D96">
        <v>0</v>
      </c>
      <c r="E96">
        <v>0</v>
      </c>
      <c r="F96">
        <v>0</v>
      </c>
      <c r="G96">
        <v>1</v>
      </c>
    </row>
    <row r="97" spans="1:7">
      <c r="A97">
        <v>100</v>
      </c>
      <c r="B97">
        <v>33</v>
      </c>
      <c r="C97">
        <v>1</v>
      </c>
      <c r="D97">
        <v>0</v>
      </c>
      <c r="E97">
        <v>0</v>
      </c>
      <c r="F97">
        <v>1</v>
      </c>
      <c r="G97">
        <v>0</v>
      </c>
    </row>
    <row r="98" spans="1:7">
      <c r="A98">
        <v>25</v>
      </c>
      <c r="B98">
        <v>22</v>
      </c>
      <c r="C98">
        <v>0</v>
      </c>
      <c r="D98">
        <v>0</v>
      </c>
      <c r="E98">
        <v>0</v>
      </c>
      <c r="F98">
        <v>1</v>
      </c>
      <c r="G98">
        <v>1</v>
      </c>
    </row>
    <row r="99" spans="1:7">
      <c r="A99">
        <v>40</v>
      </c>
      <c r="B99">
        <v>15</v>
      </c>
      <c r="C99">
        <v>0</v>
      </c>
      <c r="D99">
        <v>0</v>
      </c>
      <c r="E99">
        <v>0</v>
      </c>
      <c r="F99">
        <v>1</v>
      </c>
      <c r="G99">
        <v>0</v>
      </c>
    </row>
    <row r="100" spans="1:7">
      <c r="A100">
        <v>65</v>
      </c>
      <c r="B100">
        <v>14</v>
      </c>
      <c r="C100">
        <v>0</v>
      </c>
      <c r="D100">
        <v>0</v>
      </c>
      <c r="E100">
        <v>0</v>
      </c>
      <c r="F100">
        <v>1</v>
      </c>
      <c r="G100">
        <v>0</v>
      </c>
    </row>
    <row r="101" spans="1:7">
      <c r="A101">
        <v>47.5</v>
      </c>
      <c r="B101">
        <v>25</v>
      </c>
      <c r="C101">
        <v>0</v>
      </c>
      <c r="D101">
        <v>0</v>
      </c>
      <c r="E101">
        <v>0</v>
      </c>
      <c r="F101">
        <v>1</v>
      </c>
      <c r="G101">
        <v>1</v>
      </c>
    </row>
    <row r="102" spans="1:7">
      <c r="A102">
        <v>163</v>
      </c>
      <c r="B102">
        <v>25</v>
      </c>
      <c r="C102">
        <v>0</v>
      </c>
      <c r="D102">
        <v>0</v>
      </c>
      <c r="E102">
        <v>0</v>
      </c>
      <c r="F102">
        <v>1</v>
      </c>
      <c r="G102">
        <v>0</v>
      </c>
    </row>
    <row r="103" spans="1:7">
      <c r="A103">
        <v>175</v>
      </c>
      <c r="B103">
        <v>50</v>
      </c>
      <c r="C103">
        <v>0</v>
      </c>
      <c r="D103">
        <v>0</v>
      </c>
      <c r="E103">
        <v>0</v>
      </c>
      <c r="F103">
        <v>1</v>
      </c>
      <c r="G103">
        <v>1</v>
      </c>
    </row>
    <row r="104" spans="1:7">
      <c r="A104">
        <v>150</v>
      </c>
      <c r="B104">
        <v>24</v>
      </c>
      <c r="C104">
        <v>0</v>
      </c>
      <c r="D104">
        <v>0</v>
      </c>
      <c r="E104">
        <v>0</v>
      </c>
      <c r="F104">
        <v>1</v>
      </c>
      <c r="G104">
        <v>1</v>
      </c>
    </row>
    <row r="105" spans="1:7">
      <c r="A105">
        <v>163</v>
      </c>
      <c r="B105">
        <v>28</v>
      </c>
      <c r="C105">
        <v>0</v>
      </c>
      <c r="D105">
        <v>0</v>
      </c>
      <c r="E105">
        <v>0</v>
      </c>
      <c r="F105">
        <v>1</v>
      </c>
      <c r="G105">
        <v>0</v>
      </c>
    </row>
    <row r="106" spans="1:7">
      <c r="A106">
        <v>163</v>
      </c>
      <c r="B106">
        <v>30</v>
      </c>
      <c r="C106">
        <v>1</v>
      </c>
      <c r="D106">
        <v>0</v>
      </c>
      <c r="E106">
        <v>0</v>
      </c>
      <c r="F106">
        <v>1</v>
      </c>
      <c r="G106">
        <v>0</v>
      </c>
    </row>
    <row r="107" spans="1:7">
      <c r="A107">
        <v>50</v>
      </c>
      <c r="B107">
        <v>25</v>
      </c>
      <c r="C107">
        <v>0</v>
      </c>
      <c r="D107">
        <v>0</v>
      </c>
      <c r="E107">
        <v>0</v>
      </c>
      <c r="F107">
        <v>1</v>
      </c>
      <c r="G107">
        <v>1</v>
      </c>
    </row>
    <row r="108" spans="1:7">
      <c r="A108">
        <v>395</v>
      </c>
      <c r="B108">
        <v>45</v>
      </c>
      <c r="C108">
        <v>0</v>
      </c>
      <c r="D108">
        <v>1</v>
      </c>
      <c r="E108">
        <v>0</v>
      </c>
      <c r="F108">
        <v>1</v>
      </c>
      <c r="G108">
        <v>0</v>
      </c>
    </row>
    <row r="109" spans="1:7">
      <c r="A109">
        <v>175</v>
      </c>
      <c r="B109">
        <v>40</v>
      </c>
      <c r="C109">
        <v>0</v>
      </c>
      <c r="D109">
        <v>0</v>
      </c>
      <c r="E109">
        <v>0</v>
      </c>
      <c r="F109">
        <v>1</v>
      </c>
      <c r="G109">
        <v>1</v>
      </c>
    </row>
    <row r="110" spans="1:7">
      <c r="A110">
        <v>87.5</v>
      </c>
      <c r="B110">
        <v>25</v>
      </c>
      <c r="C110">
        <v>1</v>
      </c>
      <c r="D110">
        <v>0</v>
      </c>
      <c r="E110">
        <v>0</v>
      </c>
      <c r="F110">
        <v>0</v>
      </c>
      <c r="G110">
        <v>0</v>
      </c>
    </row>
    <row r="111" spans="1:7">
      <c r="A111">
        <v>75</v>
      </c>
      <c r="B111">
        <v>18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>
        <v>163</v>
      </c>
      <c r="B112">
        <v>24</v>
      </c>
      <c r="C112">
        <v>0</v>
      </c>
      <c r="D112">
        <v>0</v>
      </c>
      <c r="E112">
        <v>0</v>
      </c>
      <c r="F112">
        <v>1</v>
      </c>
      <c r="G112">
        <v>0</v>
      </c>
    </row>
    <row r="113" spans="1:7">
      <c r="A113">
        <v>325</v>
      </c>
      <c r="B113">
        <v>55</v>
      </c>
      <c r="C113">
        <v>0</v>
      </c>
      <c r="D113">
        <v>0</v>
      </c>
      <c r="E113">
        <v>0</v>
      </c>
      <c r="F113">
        <v>1</v>
      </c>
      <c r="G113">
        <v>0</v>
      </c>
    </row>
    <row r="114" spans="1:7">
      <c r="A114">
        <v>121</v>
      </c>
      <c r="B114">
        <v>27</v>
      </c>
      <c r="C114">
        <v>0</v>
      </c>
      <c r="D114">
        <v>1</v>
      </c>
      <c r="E114">
        <v>0</v>
      </c>
      <c r="F114">
        <v>0</v>
      </c>
      <c r="G114">
        <v>0</v>
      </c>
    </row>
    <row r="115" spans="1:7">
      <c r="A115">
        <v>600</v>
      </c>
      <c r="B115">
        <v>35</v>
      </c>
      <c r="C115">
        <v>1</v>
      </c>
      <c r="D115">
        <v>0</v>
      </c>
      <c r="E115">
        <v>0</v>
      </c>
      <c r="F115">
        <v>0</v>
      </c>
      <c r="G115">
        <v>0</v>
      </c>
    </row>
    <row r="116" spans="1:7">
      <c r="A116">
        <v>52</v>
      </c>
      <c r="B116">
        <v>19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>
        <v>117</v>
      </c>
      <c r="B117">
        <v>28</v>
      </c>
      <c r="C117">
        <v>1</v>
      </c>
      <c r="D117">
        <v>0</v>
      </c>
      <c r="E117">
        <v>0</v>
      </c>
      <c r="F117">
        <v>0</v>
      </c>
      <c r="G117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C013-CF2C-4354-B275-A6098BEECF0E}">
  <dimension ref="A1:G54"/>
  <sheetViews>
    <sheetView workbookViewId="0">
      <selection activeCell="C1" sqref="C1"/>
    </sheetView>
  </sheetViews>
  <sheetFormatPr defaultRowHeight="15"/>
  <sheetData>
    <row r="1" spans="1:7">
      <c r="A1" t="s">
        <v>633</v>
      </c>
    </row>
    <row r="2" spans="1:7">
      <c r="A2" t="s">
        <v>634</v>
      </c>
    </row>
    <row r="3" spans="1:7">
      <c r="A3" t="s">
        <v>114</v>
      </c>
      <c r="B3" t="s">
        <v>63</v>
      </c>
      <c r="C3" t="s">
        <v>415</v>
      </c>
      <c r="D3" t="s">
        <v>635</v>
      </c>
      <c r="E3" t="s">
        <v>636</v>
      </c>
      <c r="F3" t="s">
        <v>610</v>
      </c>
      <c r="G3" t="s">
        <v>637</v>
      </c>
    </row>
    <row r="4" spans="1:7">
      <c r="A4">
        <v>81.586111099999997</v>
      </c>
      <c r="B4">
        <v>1958</v>
      </c>
      <c r="C4">
        <v>4</v>
      </c>
      <c r="D4">
        <v>1.915</v>
      </c>
      <c r="E4">
        <v>0.51</v>
      </c>
      <c r="F4">
        <v>0</v>
      </c>
      <c r="G4">
        <v>0</v>
      </c>
    </row>
    <row r="5" spans="1:7">
      <c r="A5">
        <v>81.6256944</v>
      </c>
      <c r="B5">
        <v>1959</v>
      </c>
      <c r="C5">
        <v>1</v>
      </c>
      <c r="D5">
        <v>1.8759999999999999</v>
      </c>
      <c r="E5">
        <v>0.54100000000000004</v>
      </c>
      <c r="F5">
        <v>0</v>
      </c>
      <c r="G5">
        <v>0</v>
      </c>
    </row>
    <row r="6" spans="1:7">
      <c r="A6">
        <v>81.626388899999995</v>
      </c>
      <c r="B6">
        <v>1959</v>
      </c>
      <c r="C6">
        <v>2</v>
      </c>
      <c r="D6">
        <v>1.8420000000000001</v>
      </c>
      <c r="E6">
        <v>0.54100000000000004</v>
      </c>
      <c r="F6">
        <v>0</v>
      </c>
      <c r="G6">
        <v>0</v>
      </c>
    </row>
    <row r="7" spans="1:7">
      <c r="A7">
        <v>81.627083299999995</v>
      </c>
      <c r="B7">
        <v>1959</v>
      </c>
      <c r="C7">
        <v>3</v>
      </c>
      <c r="D7">
        <v>1.75</v>
      </c>
      <c r="E7">
        <v>0.69</v>
      </c>
      <c r="F7">
        <v>0</v>
      </c>
      <c r="G7">
        <v>0</v>
      </c>
    </row>
    <row r="8" spans="1:7">
      <c r="A8">
        <v>81.627777800000004</v>
      </c>
      <c r="B8">
        <v>1959</v>
      </c>
      <c r="C8">
        <v>4</v>
      </c>
      <c r="D8">
        <v>1.6479999999999999</v>
      </c>
      <c r="E8">
        <v>0.77100000000000002</v>
      </c>
      <c r="F8">
        <v>0</v>
      </c>
      <c r="G8">
        <v>0</v>
      </c>
    </row>
    <row r="9" spans="1:7">
      <c r="A9">
        <v>81.667361099999994</v>
      </c>
      <c r="B9">
        <v>1960</v>
      </c>
      <c r="C9">
        <v>1</v>
      </c>
      <c r="D9">
        <v>1.45</v>
      </c>
      <c r="E9">
        <v>0.83599999999999997</v>
      </c>
      <c r="F9">
        <v>0</v>
      </c>
      <c r="G9">
        <v>0</v>
      </c>
    </row>
    <row r="10" spans="1:7">
      <c r="A10">
        <v>81.668055600000002</v>
      </c>
      <c r="B10">
        <v>1960</v>
      </c>
      <c r="C10">
        <v>2</v>
      </c>
      <c r="D10">
        <v>1.393</v>
      </c>
      <c r="E10">
        <v>0.90800000000000003</v>
      </c>
      <c r="F10">
        <v>0</v>
      </c>
      <c r="G10">
        <v>0</v>
      </c>
    </row>
    <row r="11" spans="1:7">
      <c r="A11">
        <v>81.668750000000003</v>
      </c>
      <c r="B11">
        <v>1960</v>
      </c>
      <c r="C11">
        <v>3</v>
      </c>
      <c r="D11">
        <v>1.3220000000000001</v>
      </c>
      <c r="E11">
        <v>0.96799999999999997</v>
      </c>
      <c r="F11">
        <v>0</v>
      </c>
      <c r="G11">
        <v>0</v>
      </c>
    </row>
    <row r="12" spans="1:7">
      <c r="A12">
        <v>81.669444400000003</v>
      </c>
      <c r="B12">
        <v>1960</v>
      </c>
      <c r="C12">
        <v>4</v>
      </c>
      <c r="D12">
        <v>1.26</v>
      </c>
      <c r="E12">
        <v>0.998</v>
      </c>
      <c r="F12">
        <v>0</v>
      </c>
      <c r="G12">
        <v>0</v>
      </c>
    </row>
    <row r="13" spans="1:7">
      <c r="A13">
        <v>81.709027800000001</v>
      </c>
      <c r="B13">
        <v>1961</v>
      </c>
      <c r="C13">
        <v>1</v>
      </c>
      <c r="D13">
        <v>1.171</v>
      </c>
      <c r="E13">
        <v>0.96799999999999997</v>
      </c>
      <c r="F13">
        <v>0</v>
      </c>
      <c r="G13">
        <v>0</v>
      </c>
    </row>
    <row r="14" spans="1:7">
      <c r="A14">
        <v>81.709722200000002</v>
      </c>
      <c r="B14">
        <v>1961</v>
      </c>
      <c r="C14">
        <v>2</v>
      </c>
      <c r="D14">
        <v>1.1819999999999999</v>
      </c>
      <c r="E14">
        <v>0.96399999999999997</v>
      </c>
      <c r="F14">
        <v>0</v>
      </c>
      <c r="G14">
        <v>0</v>
      </c>
    </row>
    <row r="15" spans="1:7">
      <c r="A15">
        <v>81.710416699999996</v>
      </c>
      <c r="B15">
        <v>1961</v>
      </c>
      <c r="C15">
        <v>3</v>
      </c>
      <c r="D15">
        <v>1.2210000000000001</v>
      </c>
      <c r="E15">
        <v>0.95199999999999996</v>
      </c>
      <c r="F15">
        <v>0</v>
      </c>
      <c r="G15">
        <v>0</v>
      </c>
    </row>
    <row r="16" spans="1:7">
      <c r="A16">
        <v>81.711111099999997</v>
      </c>
      <c r="B16">
        <v>1961</v>
      </c>
      <c r="C16">
        <v>4</v>
      </c>
      <c r="D16">
        <v>1.34</v>
      </c>
      <c r="E16">
        <v>0.84899999999999998</v>
      </c>
      <c r="F16">
        <v>0</v>
      </c>
      <c r="G16">
        <v>0</v>
      </c>
    </row>
    <row r="17" spans="1:7">
      <c r="A17">
        <v>81.7506944</v>
      </c>
      <c r="B17">
        <v>1962</v>
      </c>
      <c r="C17">
        <v>1</v>
      </c>
      <c r="D17">
        <v>1.411</v>
      </c>
      <c r="E17">
        <v>0.748</v>
      </c>
      <c r="F17">
        <v>0</v>
      </c>
      <c r="G17">
        <v>0</v>
      </c>
    </row>
    <row r="18" spans="1:7">
      <c r="A18">
        <v>81.751388899999995</v>
      </c>
      <c r="B18">
        <v>1962</v>
      </c>
      <c r="C18">
        <v>2</v>
      </c>
      <c r="D18">
        <v>1.6</v>
      </c>
      <c r="E18">
        <v>0.65800000000000003</v>
      </c>
      <c r="F18">
        <v>0</v>
      </c>
      <c r="G18">
        <v>0</v>
      </c>
    </row>
    <row r="19" spans="1:7">
      <c r="A19">
        <v>81.752083299999995</v>
      </c>
      <c r="B19">
        <v>1962</v>
      </c>
      <c r="C19">
        <v>3</v>
      </c>
      <c r="D19">
        <v>1.78</v>
      </c>
      <c r="E19">
        <v>0.56200000000000006</v>
      </c>
      <c r="F19">
        <v>0</v>
      </c>
      <c r="G19">
        <v>0</v>
      </c>
    </row>
    <row r="20" spans="1:7">
      <c r="A20">
        <v>81.752777800000004</v>
      </c>
      <c r="B20">
        <v>1962</v>
      </c>
      <c r="C20">
        <v>4</v>
      </c>
      <c r="D20">
        <v>1.9410000000000001</v>
      </c>
      <c r="E20">
        <v>0.51</v>
      </c>
      <c r="F20">
        <v>0</v>
      </c>
      <c r="G20">
        <v>0</v>
      </c>
    </row>
    <row r="21" spans="1:7">
      <c r="A21">
        <v>81.792361099999994</v>
      </c>
      <c r="B21">
        <v>1963</v>
      </c>
      <c r="C21">
        <v>1</v>
      </c>
      <c r="D21">
        <v>2.1779999999999999</v>
      </c>
      <c r="E21">
        <v>0.51</v>
      </c>
      <c r="F21">
        <v>0</v>
      </c>
      <c r="G21">
        <v>0</v>
      </c>
    </row>
    <row r="22" spans="1:7">
      <c r="A22">
        <v>81.793055600000002</v>
      </c>
      <c r="B22">
        <v>1963</v>
      </c>
      <c r="C22">
        <v>2</v>
      </c>
      <c r="D22">
        <v>2.0670000000000002</v>
      </c>
      <c r="E22">
        <v>0.54400000000000004</v>
      </c>
      <c r="F22">
        <v>0</v>
      </c>
      <c r="G22">
        <v>0</v>
      </c>
    </row>
    <row r="23" spans="1:7">
      <c r="A23">
        <v>81.793750000000003</v>
      </c>
      <c r="B23">
        <v>1963</v>
      </c>
      <c r="C23">
        <v>3</v>
      </c>
      <c r="D23">
        <v>1.9419999999999999</v>
      </c>
      <c r="E23">
        <v>0.56799999999999995</v>
      </c>
      <c r="F23">
        <v>0</v>
      </c>
      <c r="G23">
        <v>0</v>
      </c>
    </row>
    <row r="24" spans="1:7">
      <c r="A24">
        <v>81.794444400000003</v>
      </c>
      <c r="B24">
        <v>1963</v>
      </c>
      <c r="C24">
        <v>4</v>
      </c>
      <c r="D24">
        <v>1.764</v>
      </c>
      <c r="E24">
        <v>0.67700000000000005</v>
      </c>
      <c r="F24">
        <v>0</v>
      </c>
      <c r="G24">
        <v>0</v>
      </c>
    </row>
    <row r="25" spans="1:7">
      <c r="A25">
        <v>81.834027800000001</v>
      </c>
      <c r="B25">
        <v>1964</v>
      </c>
      <c r="C25">
        <v>1</v>
      </c>
      <c r="D25">
        <v>1.532</v>
      </c>
      <c r="E25">
        <v>0.79400000000000004</v>
      </c>
      <c r="F25">
        <v>0</v>
      </c>
      <c r="G25">
        <v>0</v>
      </c>
    </row>
    <row r="26" spans="1:7">
      <c r="A26">
        <v>81.834722200000002</v>
      </c>
      <c r="B26">
        <v>1964</v>
      </c>
      <c r="C26">
        <v>2</v>
      </c>
      <c r="D26">
        <v>1.4550000000000001</v>
      </c>
      <c r="E26">
        <v>0.83799999999999997</v>
      </c>
      <c r="F26">
        <v>0</v>
      </c>
      <c r="G26">
        <v>0</v>
      </c>
    </row>
    <row r="27" spans="1:7">
      <c r="A27">
        <v>81.835416699999996</v>
      </c>
      <c r="B27">
        <v>1964</v>
      </c>
      <c r="C27">
        <v>3</v>
      </c>
      <c r="D27">
        <v>1.409</v>
      </c>
      <c r="E27">
        <v>0.88500000000000001</v>
      </c>
      <c r="F27">
        <v>0</v>
      </c>
      <c r="G27">
        <v>0</v>
      </c>
    </row>
    <row r="28" spans="1:7">
      <c r="A28">
        <v>81.836111099999997</v>
      </c>
      <c r="B28">
        <v>1964</v>
      </c>
      <c r="C28">
        <v>4</v>
      </c>
      <c r="D28">
        <v>1.296</v>
      </c>
      <c r="E28">
        <v>0.97799999999999998</v>
      </c>
      <c r="F28">
        <v>0</v>
      </c>
      <c r="G28">
        <v>0</v>
      </c>
    </row>
    <row r="29" spans="1:7">
      <c r="A29">
        <v>81.8756944</v>
      </c>
      <c r="B29">
        <v>1965</v>
      </c>
      <c r="C29">
        <v>1</v>
      </c>
      <c r="D29">
        <v>1.2010000000000001</v>
      </c>
      <c r="E29">
        <v>0.997</v>
      </c>
      <c r="F29">
        <v>0</v>
      </c>
      <c r="G29">
        <v>0</v>
      </c>
    </row>
    <row r="30" spans="1:7">
      <c r="A30">
        <v>81.876388899999995</v>
      </c>
      <c r="B30">
        <v>1965</v>
      </c>
      <c r="C30">
        <v>2</v>
      </c>
      <c r="D30">
        <v>1.1919999999999999</v>
      </c>
      <c r="E30">
        <v>1.0349999999999999</v>
      </c>
      <c r="F30">
        <v>0</v>
      </c>
      <c r="G30">
        <v>0</v>
      </c>
    </row>
    <row r="31" spans="1:7">
      <c r="A31">
        <v>81.877083299999995</v>
      </c>
      <c r="B31">
        <v>1965</v>
      </c>
      <c r="C31">
        <v>3</v>
      </c>
      <c r="D31">
        <v>1.2589999999999999</v>
      </c>
      <c r="E31">
        <v>1.04</v>
      </c>
      <c r="F31">
        <v>0</v>
      </c>
      <c r="G31">
        <v>0</v>
      </c>
    </row>
    <row r="32" spans="1:7">
      <c r="A32">
        <v>81.877777800000004</v>
      </c>
      <c r="B32">
        <v>1965</v>
      </c>
      <c r="C32">
        <v>4</v>
      </c>
      <c r="D32">
        <v>1.1919999999999999</v>
      </c>
      <c r="E32">
        <v>1.0860000000000001</v>
      </c>
      <c r="F32">
        <v>0</v>
      </c>
      <c r="G32">
        <v>0</v>
      </c>
    </row>
    <row r="33" spans="1:7">
      <c r="A33">
        <v>81.917361099999994</v>
      </c>
      <c r="B33">
        <v>1966</v>
      </c>
      <c r="C33">
        <v>1</v>
      </c>
      <c r="D33">
        <v>1.089</v>
      </c>
      <c r="E33">
        <v>1.101</v>
      </c>
      <c r="F33">
        <v>0</v>
      </c>
      <c r="G33">
        <v>0</v>
      </c>
    </row>
    <row r="34" spans="1:7">
      <c r="A34">
        <v>81.918055600000002</v>
      </c>
      <c r="B34">
        <v>1966</v>
      </c>
      <c r="C34">
        <v>2</v>
      </c>
      <c r="D34">
        <v>1.101</v>
      </c>
      <c r="E34">
        <v>1.0580000000000001</v>
      </c>
      <c r="F34">
        <v>0</v>
      </c>
      <c r="G34">
        <v>0</v>
      </c>
    </row>
    <row r="35" spans="1:7">
      <c r="A35">
        <v>81.918750000000003</v>
      </c>
      <c r="B35">
        <v>1966</v>
      </c>
      <c r="C35">
        <v>3</v>
      </c>
      <c r="D35">
        <v>1.2430000000000001</v>
      </c>
      <c r="E35">
        <v>0.98699999999999999</v>
      </c>
      <c r="F35">
        <v>0</v>
      </c>
      <c r="G35">
        <v>0</v>
      </c>
    </row>
    <row r="36" spans="1:7">
      <c r="A36">
        <v>81.919444400000003</v>
      </c>
      <c r="B36">
        <v>1966</v>
      </c>
      <c r="C36">
        <v>4</v>
      </c>
      <c r="D36">
        <v>1.623</v>
      </c>
      <c r="E36">
        <v>0.81899999999999995</v>
      </c>
      <c r="F36">
        <v>1</v>
      </c>
      <c r="G36">
        <v>0.81899999999999995</v>
      </c>
    </row>
    <row r="37" spans="1:7">
      <c r="A37">
        <v>81.959027800000001</v>
      </c>
      <c r="B37">
        <v>1967</v>
      </c>
      <c r="C37">
        <v>1</v>
      </c>
      <c r="D37">
        <v>1.821</v>
      </c>
      <c r="E37">
        <v>0.74</v>
      </c>
      <c r="F37">
        <v>1</v>
      </c>
      <c r="G37">
        <v>0.74</v>
      </c>
    </row>
    <row r="38" spans="1:7">
      <c r="A38">
        <v>81.959722200000002</v>
      </c>
      <c r="B38">
        <v>1967</v>
      </c>
      <c r="C38">
        <v>2</v>
      </c>
      <c r="D38">
        <v>1.99</v>
      </c>
      <c r="E38">
        <v>0.66100000000000003</v>
      </c>
      <c r="F38">
        <v>1</v>
      </c>
      <c r="G38">
        <v>0.66100000000000003</v>
      </c>
    </row>
    <row r="39" spans="1:7">
      <c r="A39">
        <v>81.960416699999996</v>
      </c>
      <c r="B39">
        <v>1967</v>
      </c>
      <c r="C39">
        <v>3</v>
      </c>
      <c r="D39">
        <v>2.1139999999999999</v>
      </c>
      <c r="E39">
        <v>0.66</v>
      </c>
      <c r="F39">
        <v>1</v>
      </c>
      <c r="G39">
        <v>0.66</v>
      </c>
    </row>
    <row r="40" spans="1:7">
      <c r="A40">
        <v>81.961111099999997</v>
      </c>
      <c r="B40">
        <v>1967</v>
      </c>
      <c r="C40">
        <v>4</v>
      </c>
      <c r="D40">
        <v>2.1150000000000002</v>
      </c>
      <c r="E40">
        <v>0.69799999999999995</v>
      </c>
      <c r="F40">
        <v>1</v>
      </c>
      <c r="G40">
        <v>0.69799999999999995</v>
      </c>
    </row>
    <row r="41" spans="1:7">
      <c r="A41">
        <v>82.0006944</v>
      </c>
      <c r="B41">
        <v>1968</v>
      </c>
      <c r="C41">
        <v>1</v>
      </c>
      <c r="D41">
        <v>2.15</v>
      </c>
      <c r="E41">
        <v>0.69499999999999995</v>
      </c>
      <c r="F41">
        <v>1</v>
      </c>
      <c r="G41">
        <v>0.69499999999999995</v>
      </c>
    </row>
    <row r="42" spans="1:7">
      <c r="A42">
        <v>82.001388899999995</v>
      </c>
      <c r="B42">
        <v>1968</v>
      </c>
      <c r="C42">
        <v>2</v>
      </c>
      <c r="D42">
        <v>2.141</v>
      </c>
      <c r="E42">
        <v>0.73199999999999998</v>
      </c>
      <c r="F42">
        <v>1</v>
      </c>
      <c r="G42">
        <v>0.73199999999999998</v>
      </c>
    </row>
    <row r="43" spans="1:7">
      <c r="A43">
        <v>82.002083299999995</v>
      </c>
      <c r="B43">
        <v>1968</v>
      </c>
      <c r="C43">
        <v>3</v>
      </c>
      <c r="D43">
        <v>2167</v>
      </c>
      <c r="E43">
        <v>0.749</v>
      </c>
      <c r="F43">
        <v>1</v>
      </c>
      <c r="G43">
        <v>0.749</v>
      </c>
    </row>
    <row r="44" spans="1:7">
      <c r="A44">
        <v>82.002777800000004</v>
      </c>
      <c r="B44">
        <v>1968</v>
      </c>
      <c r="C44">
        <v>4</v>
      </c>
      <c r="D44">
        <v>2.1070000000000002</v>
      </c>
      <c r="E44">
        <v>0.8</v>
      </c>
      <c r="F44">
        <v>1</v>
      </c>
      <c r="G44">
        <v>0.8</v>
      </c>
    </row>
    <row r="45" spans="1:7">
      <c r="A45">
        <v>82.042361099999994</v>
      </c>
      <c r="B45">
        <v>1969</v>
      </c>
      <c r="C45">
        <v>1</v>
      </c>
      <c r="D45">
        <v>2.1040000000000001</v>
      </c>
      <c r="E45">
        <v>0.78300000000000003</v>
      </c>
      <c r="F45">
        <v>1</v>
      </c>
      <c r="G45">
        <v>0.78300000000000003</v>
      </c>
    </row>
    <row r="46" spans="1:7">
      <c r="A46">
        <v>82.043055600000002</v>
      </c>
      <c r="B46">
        <v>1969</v>
      </c>
      <c r="C46">
        <v>2</v>
      </c>
      <c r="D46">
        <v>2.056</v>
      </c>
      <c r="E46">
        <v>0.8</v>
      </c>
      <c r="F46">
        <v>1</v>
      </c>
      <c r="G46">
        <v>0.8</v>
      </c>
    </row>
    <row r="47" spans="1:7">
      <c r="A47">
        <v>82.043750000000003</v>
      </c>
      <c r="B47">
        <v>1969</v>
      </c>
      <c r="C47">
        <v>3</v>
      </c>
      <c r="D47">
        <v>2.17</v>
      </c>
      <c r="E47">
        <v>0.79400000000000004</v>
      </c>
      <c r="F47">
        <v>1</v>
      </c>
      <c r="G47">
        <v>0.79400000000000004</v>
      </c>
    </row>
    <row r="48" spans="1:7">
      <c r="A48">
        <v>82.044444400000003</v>
      </c>
      <c r="B48">
        <v>1969</v>
      </c>
      <c r="C48">
        <v>4</v>
      </c>
      <c r="D48">
        <v>2.161</v>
      </c>
      <c r="E48">
        <v>0.79</v>
      </c>
      <c r="F48">
        <v>1</v>
      </c>
      <c r="G48">
        <v>0.79</v>
      </c>
    </row>
    <row r="49" spans="1:7">
      <c r="A49">
        <v>82.084027800000001</v>
      </c>
      <c r="B49">
        <v>1970</v>
      </c>
      <c r="C49">
        <v>1</v>
      </c>
      <c r="D49">
        <v>2.2250000000000001</v>
      </c>
      <c r="E49">
        <v>0.75700000000000001</v>
      </c>
      <c r="F49">
        <v>1</v>
      </c>
      <c r="G49">
        <v>0.75700000000000001</v>
      </c>
    </row>
    <row r="50" spans="1:7">
      <c r="A50">
        <v>82.084722200000002</v>
      </c>
      <c r="B50">
        <v>1970</v>
      </c>
      <c r="C50">
        <v>2</v>
      </c>
      <c r="D50">
        <v>2.2410000000000001</v>
      </c>
      <c r="E50">
        <v>0.746</v>
      </c>
      <c r="F50">
        <v>1</v>
      </c>
      <c r="G50">
        <v>0.746</v>
      </c>
    </row>
    <row r="51" spans="1:7">
      <c r="A51">
        <v>82.085416699999996</v>
      </c>
      <c r="B51">
        <v>1970</v>
      </c>
      <c r="C51">
        <v>3</v>
      </c>
      <c r="D51">
        <v>2.3660000000000001</v>
      </c>
      <c r="E51">
        <v>0.73899999999999999</v>
      </c>
      <c r="F51">
        <v>1</v>
      </c>
      <c r="G51">
        <v>0.73899999999999999</v>
      </c>
    </row>
    <row r="52" spans="1:7">
      <c r="A52">
        <v>82.086111099999997</v>
      </c>
      <c r="B52">
        <v>1970</v>
      </c>
      <c r="C52">
        <v>4</v>
      </c>
      <c r="D52">
        <v>2.3239999999999998</v>
      </c>
      <c r="E52">
        <v>0.70699999999999996</v>
      </c>
      <c r="F52">
        <v>1</v>
      </c>
      <c r="G52">
        <v>0.70699999999999996</v>
      </c>
    </row>
    <row r="53" spans="1:7">
      <c r="A53">
        <v>82.1256944</v>
      </c>
      <c r="B53">
        <v>1971</v>
      </c>
      <c r="C53">
        <v>1</v>
      </c>
      <c r="D53">
        <v>2.516</v>
      </c>
      <c r="E53">
        <v>0.58299999999999996</v>
      </c>
      <c r="F53">
        <v>1</v>
      </c>
      <c r="G53">
        <v>0.58299999999999996</v>
      </c>
    </row>
    <row r="54" spans="1:7">
      <c r="A54">
        <v>82.126388899999995</v>
      </c>
      <c r="B54">
        <v>1971</v>
      </c>
      <c r="C54">
        <v>2</v>
      </c>
      <c r="D54">
        <v>2.9089999999999998</v>
      </c>
      <c r="E54">
        <v>0.52400000000000002</v>
      </c>
      <c r="F54">
        <v>1</v>
      </c>
      <c r="G54">
        <v>0.52400000000000002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B7A1-42C1-4C0C-B6B6-280673BB5F8B}">
  <dimension ref="A1:I27"/>
  <sheetViews>
    <sheetView workbookViewId="0">
      <selection sqref="A1:I27"/>
    </sheetView>
  </sheetViews>
  <sheetFormatPr defaultRowHeight="15"/>
  <sheetData>
    <row r="1" spans="1:9">
      <c r="A1" t="s">
        <v>638</v>
      </c>
    </row>
    <row r="2" spans="1:9">
      <c r="A2" t="s">
        <v>639</v>
      </c>
    </row>
    <row r="4" spans="1:9">
      <c r="A4" t="s">
        <v>114</v>
      </c>
      <c r="B4" t="s">
        <v>63</v>
      </c>
      <c r="C4" t="s">
        <v>636</v>
      </c>
      <c r="D4" t="s">
        <v>640</v>
      </c>
      <c r="E4" t="s">
        <v>641</v>
      </c>
      <c r="F4" t="s">
        <v>642</v>
      </c>
      <c r="G4" t="s">
        <v>643</v>
      </c>
      <c r="H4" t="s">
        <v>644</v>
      </c>
      <c r="I4" t="s">
        <v>645</v>
      </c>
    </row>
    <row r="5" spans="1:9">
      <c r="A5">
        <v>1</v>
      </c>
      <c r="B5">
        <v>1916</v>
      </c>
      <c r="C5">
        <v>0.51680000000000004</v>
      </c>
      <c r="D5">
        <v>0</v>
      </c>
      <c r="E5">
        <v>1</v>
      </c>
      <c r="F5">
        <v>2.2290000000000001</v>
      </c>
      <c r="G5">
        <v>1</v>
      </c>
      <c r="H5">
        <v>3</v>
      </c>
      <c r="I5">
        <v>4.2519999999999998</v>
      </c>
    </row>
    <row r="6" spans="1:9">
      <c r="A6">
        <v>2</v>
      </c>
      <c r="B6">
        <v>1920</v>
      </c>
      <c r="C6">
        <v>0.36120000000000002</v>
      </c>
      <c r="D6">
        <v>1</v>
      </c>
      <c r="E6">
        <v>0</v>
      </c>
      <c r="F6">
        <v>-11.5</v>
      </c>
      <c r="G6">
        <v>1</v>
      </c>
      <c r="H6">
        <v>5</v>
      </c>
      <c r="I6">
        <v>16.54</v>
      </c>
    </row>
    <row r="7" spans="1:9">
      <c r="A7">
        <v>3</v>
      </c>
      <c r="B7">
        <v>1924</v>
      </c>
      <c r="C7">
        <v>0.41760000000000003</v>
      </c>
      <c r="D7">
        <v>0</v>
      </c>
      <c r="E7">
        <v>-1</v>
      </c>
      <c r="F7">
        <v>-3.87</v>
      </c>
      <c r="G7">
        <v>-1</v>
      </c>
      <c r="H7">
        <v>10</v>
      </c>
      <c r="I7">
        <v>5.1609999999999996</v>
      </c>
    </row>
    <row r="8" spans="1:9">
      <c r="A8">
        <v>4</v>
      </c>
      <c r="B8">
        <v>1928</v>
      </c>
      <c r="C8">
        <v>0.4118</v>
      </c>
      <c r="D8">
        <v>0</v>
      </c>
      <c r="E8">
        <v>0</v>
      </c>
      <c r="F8">
        <v>4.6230000000000002</v>
      </c>
      <c r="G8">
        <v>-1</v>
      </c>
      <c r="H8">
        <v>7</v>
      </c>
      <c r="I8">
        <v>0.183</v>
      </c>
    </row>
    <row r="9" spans="1:9">
      <c r="A9">
        <v>5</v>
      </c>
      <c r="B9">
        <v>1932</v>
      </c>
      <c r="C9">
        <v>0.59160000000000001</v>
      </c>
      <c r="D9">
        <v>0</v>
      </c>
      <c r="E9">
        <v>-1</v>
      </c>
      <c r="F9">
        <v>-14.9</v>
      </c>
      <c r="G9">
        <v>-1</v>
      </c>
      <c r="H9">
        <v>4</v>
      </c>
      <c r="I9">
        <v>7.069</v>
      </c>
    </row>
    <row r="10" spans="1:9">
      <c r="A10">
        <v>6</v>
      </c>
      <c r="B10">
        <v>1936</v>
      </c>
      <c r="C10">
        <v>0.62460000000000004</v>
      </c>
      <c r="D10">
        <v>0</v>
      </c>
      <c r="E10">
        <v>1</v>
      </c>
      <c r="F10">
        <v>11.92</v>
      </c>
      <c r="G10">
        <v>1</v>
      </c>
      <c r="H10">
        <v>9</v>
      </c>
      <c r="I10">
        <v>2.3620000000000001</v>
      </c>
    </row>
    <row r="11" spans="1:9">
      <c r="A11">
        <v>7</v>
      </c>
      <c r="B11">
        <v>1940</v>
      </c>
      <c r="C11">
        <v>0.55000000000000004</v>
      </c>
      <c r="D11">
        <v>0</v>
      </c>
      <c r="E11">
        <v>1</v>
      </c>
      <c r="F11">
        <v>3.7080000000000002</v>
      </c>
      <c r="G11">
        <v>1</v>
      </c>
      <c r="H11">
        <v>8</v>
      </c>
      <c r="I11">
        <v>2.8000000000000001E-2</v>
      </c>
    </row>
    <row r="12" spans="1:9">
      <c r="A12">
        <v>8</v>
      </c>
      <c r="B12">
        <v>1944</v>
      </c>
      <c r="C12">
        <v>0.53769999999999996</v>
      </c>
      <c r="D12">
        <v>1</v>
      </c>
      <c r="E12">
        <v>1</v>
      </c>
      <c r="F12">
        <v>4.1189999999999998</v>
      </c>
      <c r="G12">
        <v>1</v>
      </c>
      <c r="H12">
        <v>14</v>
      </c>
      <c r="I12">
        <v>5.6779999999999999</v>
      </c>
    </row>
    <row r="13" spans="1:9">
      <c r="A13">
        <v>9</v>
      </c>
      <c r="B13">
        <v>1948</v>
      </c>
      <c r="C13">
        <v>0.52370000000000005</v>
      </c>
      <c r="D13">
        <v>1</v>
      </c>
      <c r="E13">
        <v>1</v>
      </c>
      <c r="F13">
        <v>1.849</v>
      </c>
      <c r="G13">
        <v>1</v>
      </c>
      <c r="H13">
        <v>5</v>
      </c>
      <c r="I13">
        <v>8.7219999999999995</v>
      </c>
    </row>
    <row r="14" spans="1:9">
      <c r="A14">
        <v>10</v>
      </c>
      <c r="B14">
        <v>1952</v>
      </c>
      <c r="C14">
        <v>0.44600000000000001</v>
      </c>
      <c r="D14">
        <v>0</v>
      </c>
      <c r="E14">
        <v>0</v>
      </c>
      <c r="F14">
        <v>0.627</v>
      </c>
      <c r="G14">
        <v>1</v>
      </c>
      <c r="H14">
        <v>6</v>
      </c>
      <c r="I14">
        <v>2.2879999999999998</v>
      </c>
    </row>
    <row r="15" spans="1:9">
      <c r="A15">
        <v>11</v>
      </c>
      <c r="B15">
        <v>1956</v>
      </c>
      <c r="C15">
        <v>0.4224</v>
      </c>
      <c r="D15">
        <v>0</v>
      </c>
      <c r="E15">
        <v>-1</v>
      </c>
      <c r="F15">
        <v>-1.53</v>
      </c>
      <c r="G15">
        <v>-1</v>
      </c>
      <c r="H15">
        <v>5</v>
      </c>
      <c r="I15">
        <v>1.9359999999999999</v>
      </c>
    </row>
    <row r="16" spans="1:9">
      <c r="A16">
        <v>12</v>
      </c>
      <c r="B16">
        <v>1960</v>
      </c>
      <c r="C16">
        <v>0.50090000000000001</v>
      </c>
      <c r="D16">
        <v>0</v>
      </c>
      <c r="E16">
        <v>0</v>
      </c>
      <c r="F16">
        <v>0.114</v>
      </c>
      <c r="G16">
        <v>-1</v>
      </c>
      <c r="H16">
        <v>5</v>
      </c>
      <c r="I16">
        <v>1.9319999999999999</v>
      </c>
    </row>
    <row r="17" spans="1:9">
      <c r="A17">
        <v>13</v>
      </c>
      <c r="B17">
        <v>1964</v>
      </c>
      <c r="C17">
        <v>0.61339999999999995</v>
      </c>
      <c r="D17">
        <v>0</v>
      </c>
      <c r="E17">
        <v>1</v>
      </c>
      <c r="F17">
        <v>5.0540000000000003</v>
      </c>
      <c r="G17">
        <v>1</v>
      </c>
      <c r="H17">
        <v>10</v>
      </c>
      <c r="I17">
        <v>1.2470000000000001</v>
      </c>
    </row>
    <row r="18" spans="1:9">
      <c r="A18">
        <v>14</v>
      </c>
      <c r="B18">
        <v>1968</v>
      </c>
      <c r="C18">
        <v>0.496</v>
      </c>
      <c r="D18">
        <v>0</v>
      </c>
      <c r="E18">
        <v>0</v>
      </c>
      <c r="F18">
        <v>4.8360000000000003</v>
      </c>
      <c r="G18">
        <v>1</v>
      </c>
      <c r="H18">
        <v>7</v>
      </c>
      <c r="I18">
        <v>3.2149999999999999</v>
      </c>
    </row>
    <row r="19" spans="1:9">
      <c r="A19">
        <v>15</v>
      </c>
      <c r="B19">
        <v>1972</v>
      </c>
      <c r="C19">
        <v>0.3821</v>
      </c>
      <c r="D19">
        <v>0</v>
      </c>
      <c r="E19">
        <v>-1</v>
      </c>
      <c r="F19">
        <v>6.2779999999999996</v>
      </c>
      <c r="G19">
        <v>-1</v>
      </c>
      <c r="H19">
        <v>4</v>
      </c>
      <c r="I19">
        <v>4.766</v>
      </c>
    </row>
    <row r="20" spans="1:9">
      <c r="A20">
        <v>16</v>
      </c>
      <c r="B20">
        <v>1976</v>
      </c>
      <c r="C20">
        <v>0.51049999999999995</v>
      </c>
      <c r="D20">
        <v>0</v>
      </c>
      <c r="E20">
        <v>0</v>
      </c>
      <c r="F20">
        <v>3.6629999999999998</v>
      </c>
      <c r="G20">
        <v>-1</v>
      </c>
      <c r="H20">
        <v>4</v>
      </c>
      <c r="I20">
        <v>7.657</v>
      </c>
    </row>
    <row r="21" spans="1:9">
      <c r="A21">
        <v>17</v>
      </c>
      <c r="B21">
        <v>1980</v>
      </c>
      <c r="C21">
        <v>0.44700000000000001</v>
      </c>
      <c r="D21">
        <v>0</v>
      </c>
      <c r="E21">
        <v>1</v>
      </c>
      <c r="F21">
        <v>-3.79</v>
      </c>
      <c r="G21">
        <v>1</v>
      </c>
      <c r="H21">
        <v>5</v>
      </c>
      <c r="I21">
        <v>8.093</v>
      </c>
    </row>
    <row r="22" spans="1:9">
      <c r="A22">
        <v>18</v>
      </c>
      <c r="B22">
        <v>1984</v>
      </c>
      <c r="C22">
        <v>0.4083</v>
      </c>
      <c r="D22">
        <v>0</v>
      </c>
      <c r="E22">
        <v>-1</v>
      </c>
      <c r="F22">
        <v>5.3869999999999996</v>
      </c>
      <c r="G22">
        <v>-1</v>
      </c>
      <c r="H22">
        <v>7</v>
      </c>
      <c r="I22">
        <v>5.4029999999999996</v>
      </c>
    </row>
    <row r="23" spans="1:9">
      <c r="A23">
        <v>19</v>
      </c>
      <c r="B23">
        <v>1988</v>
      </c>
      <c r="C23">
        <v>0.46100000000000002</v>
      </c>
      <c r="D23">
        <v>0</v>
      </c>
      <c r="E23">
        <v>0</v>
      </c>
      <c r="F23">
        <v>2.0680000000000001</v>
      </c>
      <c r="G23">
        <v>-1</v>
      </c>
      <c r="H23">
        <v>6</v>
      </c>
      <c r="I23">
        <v>3.2719999999999998</v>
      </c>
    </row>
    <row r="24" spans="1:9">
      <c r="A24">
        <v>20</v>
      </c>
      <c r="B24">
        <v>1992</v>
      </c>
      <c r="C24">
        <v>0.53449999999999998</v>
      </c>
      <c r="D24">
        <v>0</v>
      </c>
      <c r="E24">
        <v>-1</v>
      </c>
      <c r="F24">
        <v>2.2930000000000001</v>
      </c>
      <c r="G24">
        <v>-1</v>
      </c>
      <c r="H24">
        <v>1</v>
      </c>
      <c r="I24">
        <v>3.6920000000000002</v>
      </c>
    </row>
    <row r="25" spans="1:9">
      <c r="A25">
        <v>21</v>
      </c>
      <c r="B25">
        <v>1996</v>
      </c>
      <c r="C25">
        <v>0.5474</v>
      </c>
      <c r="D25">
        <v>0</v>
      </c>
      <c r="E25">
        <v>1</v>
      </c>
      <c r="F25">
        <v>2.9180000000000001</v>
      </c>
      <c r="G25">
        <v>1</v>
      </c>
      <c r="H25">
        <v>3</v>
      </c>
      <c r="I25">
        <v>2.2679999999999998</v>
      </c>
    </row>
    <row r="26" spans="1:9">
      <c r="A26">
        <v>22</v>
      </c>
      <c r="B26">
        <v>2000</v>
      </c>
      <c r="C26">
        <v>0.50265000000000004</v>
      </c>
      <c r="D26">
        <v>0</v>
      </c>
      <c r="E26">
        <v>0</v>
      </c>
      <c r="F26">
        <v>1.2190000000000001</v>
      </c>
      <c r="G26">
        <v>1</v>
      </c>
      <c r="H26">
        <v>8</v>
      </c>
      <c r="I26">
        <v>1.605</v>
      </c>
    </row>
    <row r="27" spans="1:9">
      <c r="A27">
        <v>23</v>
      </c>
      <c r="B27">
        <v>2004</v>
      </c>
      <c r="C27">
        <v>0.51232999999999995</v>
      </c>
      <c r="D27">
        <v>0</v>
      </c>
      <c r="E27">
        <v>1</v>
      </c>
      <c r="F27">
        <v>2.69</v>
      </c>
      <c r="G27">
        <v>-1</v>
      </c>
      <c r="H27">
        <v>1</v>
      </c>
      <c r="I27">
        <v>2.3250000000000002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34E7-7617-4FE2-B455-2DA8A10757D9}">
  <dimension ref="A1:C9"/>
  <sheetViews>
    <sheetView workbookViewId="0">
      <selection sqref="A1:C9"/>
    </sheetView>
  </sheetViews>
  <sheetFormatPr defaultRowHeight="15"/>
  <sheetData>
    <row r="1" spans="1:3">
      <c r="A1" t="s">
        <v>646</v>
      </c>
    </row>
    <row r="2" spans="1:3">
      <c r="A2" t="s">
        <v>647</v>
      </c>
    </row>
    <row r="4" spans="1:3">
      <c r="A4" t="s">
        <v>92</v>
      </c>
      <c r="B4" t="s">
        <v>11</v>
      </c>
      <c r="C4" t="s">
        <v>463</v>
      </c>
    </row>
    <row r="5" spans="1:3">
      <c r="A5">
        <v>1</v>
      </c>
      <c r="B5">
        <v>2</v>
      </c>
      <c r="C5">
        <v>4</v>
      </c>
    </row>
    <row r="6" spans="1:3">
      <c r="A6">
        <v>2</v>
      </c>
      <c r="B6">
        <v>0</v>
      </c>
      <c r="C6">
        <v>2</v>
      </c>
    </row>
    <row r="7" spans="1:3">
      <c r="A7">
        <v>3</v>
      </c>
      <c r="B7">
        <v>4</v>
      </c>
      <c r="C7">
        <v>12</v>
      </c>
    </row>
    <row r="8" spans="1:3">
      <c r="A8">
        <v>4</v>
      </c>
      <c r="B8">
        <v>6</v>
      </c>
      <c r="C8">
        <v>0</v>
      </c>
    </row>
    <row r="9" spans="1:3">
      <c r="A9">
        <v>5</v>
      </c>
      <c r="B9">
        <v>8</v>
      </c>
      <c r="C9">
        <v>16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E1DB-BF0C-47EE-A73F-86EC32A056D3}">
  <dimension ref="A1:C10"/>
  <sheetViews>
    <sheetView workbookViewId="0">
      <selection sqref="A1:C10"/>
    </sheetView>
  </sheetViews>
  <sheetFormatPr defaultRowHeight="15"/>
  <sheetData>
    <row r="1" spans="1:3">
      <c r="A1" t="s">
        <v>648</v>
      </c>
    </row>
    <row r="3" spans="1:3">
      <c r="A3" t="s">
        <v>647</v>
      </c>
    </row>
    <row r="5" spans="1:3">
      <c r="A5" t="s">
        <v>92</v>
      </c>
      <c r="B5" t="s">
        <v>11</v>
      </c>
      <c r="C5" t="s">
        <v>463</v>
      </c>
    </row>
    <row r="6" spans="1:3">
      <c r="A6">
        <v>1</v>
      </c>
      <c r="B6">
        <v>2</v>
      </c>
      <c r="C6">
        <v>4</v>
      </c>
    </row>
    <row r="7" spans="1:3">
      <c r="A7">
        <v>2</v>
      </c>
      <c r="B7">
        <v>0</v>
      </c>
      <c r="C7">
        <v>2</v>
      </c>
    </row>
    <row r="8" spans="1:3">
      <c r="A8">
        <v>3</v>
      </c>
      <c r="B8">
        <v>4</v>
      </c>
      <c r="C8">
        <v>0</v>
      </c>
    </row>
    <row r="9" spans="1:3">
      <c r="A9">
        <v>4</v>
      </c>
      <c r="B9">
        <v>6</v>
      </c>
      <c r="C9">
        <v>12</v>
      </c>
    </row>
    <row r="10" spans="1:3">
      <c r="A10">
        <v>5</v>
      </c>
      <c r="B10">
        <v>8</v>
      </c>
      <c r="C10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EDE7-ED80-4B05-A729-B7756E7AD865}">
  <dimension ref="A1:B26"/>
  <sheetViews>
    <sheetView topLeftCell="A16" workbookViewId="0">
      <selection activeCell="A5" sqref="A5"/>
    </sheetView>
  </sheetViews>
  <sheetFormatPr defaultRowHeight="15"/>
  <sheetData>
    <row r="1" spans="1:2">
      <c r="A1" s="19" t="s">
        <v>86</v>
      </c>
      <c r="B1" s="19"/>
    </row>
    <row r="3" spans="1:2">
      <c r="A3" s="19" t="s">
        <v>87</v>
      </c>
      <c r="B3" s="19"/>
    </row>
    <row r="5" spans="1:2">
      <c r="A5" s="19" t="s">
        <v>88</v>
      </c>
      <c r="B5" s="19" t="s">
        <v>89</v>
      </c>
    </row>
    <row r="6" spans="1:2">
      <c r="A6" s="19">
        <v>32.1</v>
      </c>
      <c r="B6" s="19">
        <v>50.1</v>
      </c>
    </row>
    <row r="7" spans="1:2">
      <c r="A7" s="19">
        <v>99.6</v>
      </c>
      <c r="B7" s="19">
        <v>74.099999999999994</v>
      </c>
    </row>
    <row r="8" spans="1:2">
      <c r="A8" s="19">
        <v>11.7</v>
      </c>
      <c r="B8" s="19">
        <v>19.3</v>
      </c>
    </row>
    <row r="9" spans="1:2">
      <c r="A9" s="19">
        <v>21.9</v>
      </c>
      <c r="B9" s="19">
        <v>22.9</v>
      </c>
    </row>
    <row r="10" spans="1:2">
      <c r="A10" s="19">
        <v>60.8</v>
      </c>
      <c r="B10" s="19">
        <v>82.4</v>
      </c>
    </row>
    <row r="11" spans="1:2">
      <c r="A11" s="19">
        <v>78.599999999999994</v>
      </c>
      <c r="B11" s="19">
        <v>40.1</v>
      </c>
    </row>
    <row r="12" spans="1:2">
      <c r="A12" s="19">
        <v>92.4</v>
      </c>
      <c r="B12" s="19">
        <v>185.9</v>
      </c>
    </row>
    <row r="13" spans="1:2">
      <c r="A13" s="19">
        <v>50.7</v>
      </c>
      <c r="B13" s="19">
        <v>26.9</v>
      </c>
    </row>
    <row r="14" spans="1:2">
      <c r="A14" s="19">
        <v>21.4</v>
      </c>
      <c r="B14" s="19">
        <v>20.399999999999999</v>
      </c>
    </row>
    <row r="15" spans="1:2">
      <c r="A15" s="19">
        <v>40.1</v>
      </c>
      <c r="B15" s="19">
        <v>166.2</v>
      </c>
    </row>
    <row r="16" spans="1:2">
      <c r="A16" s="19">
        <v>40.799999999999997</v>
      </c>
      <c r="B16" s="19">
        <v>27</v>
      </c>
    </row>
    <row r="17" spans="1:2">
      <c r="A17" s="19">
        <v>10.4</v>
      </c>
      <c r="B17" s="19">
        <v>45.6</v>
      </c>
    </row>
    <row r="18" spans="1:2">
      <c r="A18" s="19">
        <v>88.9</v>
      </c>
      <c r="B18" s="19">
        <v>154.9</v>
      </c>
    </row>
    <row r="19" spans="1:2">
      <c r="A19" s="19">
        <v>12</v>
      </c>
      <c r="B19" s="19">
        <v>5</v>
      </c>
    </row>
    <row r="20" spans="1:2">
      <c r="A20" s="19">
        <v>29.2</v>
      </c>
      <c r="B20" s="19">
        <v>49.7</v>
      </c>
    </row>
    <row r="21" spans="1:2">
      <c r="A21" s="19">
        <v>38</v>
      </c>
      <c r="B21" s="19">
        <v>26.9</v>
      </c>
    </row>
    <row r="22" spans="1:2">
      <c r="A22" s="19">
        <v>10</v>
      </c>
      <c r="B22" s="19">
        <v>5.7</v>
      </c>
    </row>
    <row r="23" spans="1:2">
      <c r="A23" s="19">
        <v>12.3</v>
      </c>
      <c r="B23" s="19">
        <v>7.6</v>
      </c>
    </row>
    <row r="24" spans="1:2">
      <c r="A24" s="19">
        <v>23.4</v>
      </c>
      <c r="B24" s="19">
        <v>9.1999999999999993</v>
      </c>
    </row>
    <row r="25" spans="1:2">
      <c r="A25" s="19">
        <v>71.099999999999994</v>
      </c>
      <c r="B25" s="19">
        <v>32.4</v>
      </c>
    </row>
    <row r="26" spans="1:2">
      <c r="A26" s="19">
        <v>4.4000000000000004</v>
      </c>
      <c r="B26" s="19">
        <v>6.1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45146-5DDB-406C-940E-C2D2C0A6CA7A}">
  <dimension ref="A1:C19"/>
  <sheetViews>
    <sheetView workbookViewId="0">
      <selection sqref="A1:C19"/>
    </sheetView>
  </sheetViews>
  <sheetFormatPr defaultRowHeight="15"/>
  <sheetData>
    <row r="1" spans="1:3">
      <c r="A1" t="s">
        <v>649</v>
      </c>
    </row>
    <row r="2" spans="1:3">
      <c r="A2" t="s">
        <v>650</v>
      </c>
    </row>
    <row r="3" spans="1:3">
      <c r="A3" t="s">
        <v>651</v>
      </c>
    </row>
    <row r="5" spans="1:3">
      <c r="A5" t="s">
        <v>652</v>
      </c>
      <c r="B5" t="s">
        <v>653</v>
      </c>
    </row>
    <row r="6" spans="1:3">
      <c r="A6" t="s">
        <v>654</v>
      </c>
      <c r="B6" t="s">
        <v>655</v>
      </c>
    </row>
    <row r="7" spans="1:3">
      <c r="A7" t="s">
        <v>656</v>
      </c>
      <c r="B7" t="s">
        <v>657</v>
      </c>
    </row>
    <row r="9" spans="1:3">
      <c r="A9" t="s">
        <v>92</v>
      </c>
      <c r="B9" t="s">
        <v>11</v>
      </c>
      <c r="C9" t="s">
        <v>463</v>
      </c>
    </row>
    <row r="10" spans="1:3">
      <c r="A10">
        <v>70</v>
      </c>
      <c r="B10">
        <v>80</v>
      </c>
      <c r="C10">
        <v>810</v>
      </c>
    </row>
    <row r="11" spans="1:3">
      <c r="A11">
        <v>65</v>
      </c>
      <c r="B11">
        <v>100</v>
      </c>
      <c r="C11">
        <v>1009</v>
      </c>
    </row>
    <row r="12" spans="1:3">
      <c r="A12">
        <v>90</v>
      </c>
      <c r="B12">
        <v>120</v>
      </c>
      <c r="C12">
        <v>1273</v>
      </c>
    </row>
    <row r="13" spans="1:3">
      <c r="A13">
        <v>95</v>
      </c>
      <c r="B13">
        <v>140</v>
      </c>
      <c r="C13">
        <v>1425</v>
      </c>
    </row>
    <row r="14" spans="1:3">
      <c r="A14">
        <v>110</v>
      </c>
      <c r="B14">
        <v>160</v>
      </c>
      <c r="C14">
        <v>1633</v>
      </c>
    </row>
    <row r="15" spans="1:3">
      <c r="A15">
        <v>115</v>
      </c>
      <c r="B15">
        <v>180</v>
      </c>
      <c r="C15">
        <v>1876</v>
      </c>
    </row>
    <row r="16" spans="1:3">
      <c r="A16">
        <v>120</v>
      </c>
      <c r="B16">
        <v>200</v>
      </c>
      <c r="C16">
        <v>2052</v>
      </c>
    </row>
    <row r="17" spans="1:3">
      <c r="A17">
        <v>140</v>
      </c>
      <c r="B17">
        <v>220</v>
      </c>
      <c r="C17">
        <v>2201</v>
      </c>
    </row>
    <row r="18" spans="1:3">
      <c r="A18">
        <v>155</v>
      </c>
      <c r="B18">
        <v>240</v>
      </c>
      <c r="C18">
        <v>2435</v>
      </c>
    </row>
    <row r="19" spans="1:3">
      <c r="A19">
        <v>150</v>
      </c>
      <c r="B19">
        <v>260</v>
      </c>
      <c r="C19">
        <v>2686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7DAF2-E584-47F3-8182-4BED3477ABBA}">
  <dimension ref="A1:E57"/>
  <sheetViews>
    <sheetView topLeftCell="A36" workbookViewId="0">
      <selection sqref="A1:E57"/>
    </sheetView>
  </sheetViews>
  <sheetFormatPr defaultRowHeight="15"/>
  <sheetData>
    <row r="1" spans="1:5">
      <c r="A1" t="s">
        <v>658</v>
      </c>
    </row>
    <row r="3" spans="1:5">
      <c r="A3" t="s">
        <v>63</v>
      </c>
      <c r="B3" t="s">
        <v>524</v>
      </c>
      <c r="C3" t="s">
        <v>525</v>
      </c>
      <c r="D3" t="s">
        <v>640</v>
      </c>
      <c r="E3" t="s">
        <v>643</v>
      </c>
    </row>
    <row r="4" spans="1:5">
      <c r="A4">
        <v>1947</v>
      </c>
      <c r="B4">
        <v>976.4</v>
      </c>
      <c r="C4">
        <v>1035.2</v>
      </c>
      <c r="D4">
        <v>5166.8149999999996</v>
      </c>
      <c r="E4">
        <v>-10.350899999999999</v>
      </c>
    </row>
    <row r="5" spans="1:5">
      <c r="A5">
        <v>1948</v>
      </c>
      <c r="B5">
        <v>998.1</v>
      </c>
      <c r="C5">
        <v>1090</v>
      </c>
      <c r="D5">
        <v>5280.7569999999996</v>
      </c>
      <c r="E5">
        <v>-4.7198000000000002</v>
      </c>
    </row>
    <row r="6" spans="1:5">
      <c r="A6">
        <v>1949</v>
      </c>
      <c r="B6">
        <v>1025.3</v>
      </c>
      <c r="C6">
        <v>1095.5999999999999</v>
      </c>
      <c r="D6">
        <v>5607.3509999999997</v>
      </c>
      <c r="E6">
        <v>1.044063</v>
      </c>
    </row>
    <row r="7" spans="1:5">
      <c r="A7">
        <v>1950</v>
      </c>
      <c r="B7">
        <v>1090.9000000000001</v>
      </c>
      <c r="C7">
        <v>1192.7</v>
      </c>
      <c r="D7">
        <v>5759.5150000000003</v>
      </c>
      <c r="E7">
        <v>0.40734599999999999</v>
      </c>
    </row>
    <row r="8" spans="1:5">
      <c r="A8">
        <v>1951</v>
      </c>
      <c r="B8">
        <v>1107.0999999999999</v>
      </c>
      <c r="C8">
        <v>1227</v>
      </c>
      <c r="D8">
        <v>6086.0559999999996</v>
      </c>
      <c r="E8">
        <v>-5.28315</v>
      </c>
    </row>
    <row r="9" spans="1:5">
      <c r="A9">
        <v>1952</v>
      </c>
      <c r="B9">
        <v>1142.4000000000001</v>
      </c>
      <c r="C9">
        <v>1266.8</v>
      </c>
      <c r="D9">
        <v>6243.8639999999996</v>
      </c>
      <c r="E9">
        <v>-0.27700999999999998</v>
      </c>
    </row>
    <row r="10" spans="1:5">
      <c r="A10">
        <v>1953</v>
      </c>
      <c r="B10">
        <v>1197.2</v>
      </c>
      <c r="C10">
        <v>1327.5</v>
      </c>
      <c r="D10">
        <v>6355.6130000000003</v>
      </c>
      <c r="E10">
        <v>0.561137</v>
      </c>
    </row>
    <row r="11" spans="1:5">
      <c r="A11">
        <v>1954</v>
      </c>
      <c r="B11">
        <v>1221.9000000000001</v>
      </c>
      <c r="C11">
        <v>1344</v>
      </c>
      <c r="D11">
        <v>6797.027</v>
      </c>
      <c r="E11">
        <v>-0.13847999999999999</v>
      </c>
    </row>
    <row r="12" spans="1:5">
      <c r="A12">
        <v>1955</v>
      </c>
      <c r="B12">
        <v>1310.4000000000001</v>
      </c>
      <c r="C12">
        <v>1433.8</v>
      </c>
      <c r="D12">
        <v>7172.2420000000002</v>
      </c>
      <c r="E12">
        <v>0.26199699999999998</v>
      </c>
    </row>
    <row r="13" spans="1:5">
      <c r="A13">
        <v>1956</v>
      </c>
      <c r="B13">
        <v>1348.8</v>
      </c>
      <c r="C13">
        <v>1502.3</v>
      </c>
      <c r="D13">
        <v>7375.18</v>
      </c>
      <c r="E13">
        <v>-0.73612</v>
      </c>
    </row>
    <row r="14" spans="1:5">
      <c r="A14">
        <v>1957</v>
      </c>
      <c r="B14">
        <v>1381.8</v>
      </c>
      <c r="C14">
        <v>1539.5</v>
      </c>
      <c r="D14">
        <v>7315.2860000000001</v>
      </c>
      <c r="E14">
        <v>-0.26068000000000002</v>
      </c>
    </row>
    <row r="15" spans="1:5">
      <c r="A15">
        <v>1958</v>
      </c>
      <c r="B15">
        <v>1393</v>
      </c>
      <c r="C15">
        <v>1553.7</v>
      </c>
      <c r="D15">
        <v>7869.9750000000004</v>
      </c>
      <c r="E15">
        <v>-0.57462999999999997</v>
      </c>
    </row>
    <row r="16" spans="1:5">
      <c r="A16">
        <v>1959</v>
      </c>
      <c r="B16">
        <v>1470.7</v>
      </c>
      <c r="C16">
        <v>1623.8</v>
      </c>
      <c r="D16">
        <v>8188.0540000000001</v>
      </c>
      <c r="E16">
        <v>2.2959429999999998</v>
      </c>
    </row>
    <row r="17" spans="1:5">
      <c r="A17">
        <v>1960</v>
      </c>
      <c r="B17">
        <v>1510.8</v>
      </c>
      <c r="C17">
        <v>1664.8</v>
      </c>
      <c r="D17">
        <v>8351.7569999999996</v>
      </c>
      <c r="E17">
        <v>1.5111810000000001</v>
      </c>
    </row>
    <row r="18" spans="1:5">
      <c r="A18">
        <v>1961</v>
      </c>
      <c r="B18">
        <v>1541.2</v>
      </c>
      <c r="C18">
        <v>1720</v>
      </c>
      <c r="D18">
        <v>8971.8719999999994</v>
      </c>
      <c r="E18">
        <v>1.296432</v>
      </c>
    </row>
    <row r="19" spans="1:5">
      <c r="A19">
        <v>1962</v>
      </c>
      <c r="B19">
        <v>1617.3</v>
      </c>
      <c r="C19">
        <v>1803.5</v>
      </c>
      <c r="D19">
        <v>9091.5450000000001</v>
      </c>
      <c r="E19">
        <v>1.3959220000000001</v>
      </c>
    </row>
    <row r="20" spans="1:5">
      <c r="A20">
        <v>1963</v>
      </c>
      <c r="B20">
        <v>1684</v>
      </c>
      <c r="C20">
        <v>1871.5</v>
      </c>
      <c r="D20">
        <v>9436.0969999999998</v>
      </c>
      <c r="E20">
        <v>2.0576159999999999</v>
      </c>
    </row>
    <row r="21" spans="1:5">
      <c r="A21">
        <v>1964</v>
      </c>
      <c r="B21">
        <v>1784.8</v>
      </c>
      <c r="C21">
        <v>2006.9</v>
      </c>
      <c r="D21">
        <v>10003.4</v>
      </c>
      <c r="E21">
        <v>2.026599</v>
      </c>
    </row>
    <row r="22" spans="1:5">
      <c r="A22">
        <v>1965</v>
      </c>
      <c r="B22">
        <v>1897.6</v>
      </c>
      <c r="C22">
        <v>2131</v>
      </c>
      <c r="D22">
        <v>10562.81</v>
      </c>
      <c r="E22">
        <v>2.111669</v>
      </c>
    </row>
    <row r="23" spans="1:5">
      <c r="A23">
        <v>1966</v>
      </c>
      <c r="B23">
        <v>2006.1</v>
      </c>
      <c r="C23">
        <v>2244.6</v>
      </c>
      <c r="D23">
        <v>10522.04</v>
      </c>
      <c r="E23">
        <v>2.020251</v>
      </c>
    </row>
    <row r="24" spans="1:5">
      <c r="A24">
        <v>1967</v>
      </c>
      <c r="B24">
        <v>2066.1999999999998</v>
      </c>
      <c r="C24">
        <v>2340.5</v>
      </c>
      <c r="D24">
        <v>11312.07</v>
      </c>
      <c r="E24">
        <v>1.2126159999999999</v>
      </c>
    </row>
    <row r="25" spans="1:5">
      <c r="A25">
        <v>1968</v>
      </c>
      <c r="B25">
        <v>2184.1999999999998</v>
      </c>
      <c r="C25">
        <v>2448.1999999999998</v>
      </c>
      <c r="D25">
        <v>12145.41</v>
      </c>
      <c r="E25">
        <v>1.054986</v>
      </c>
    </row>
    <row r="26" spans="1:5">
      <c r="A26">
        <v>1969</v>
      </c>
      <c r="B26">
        <v>2264.8000000000002</v>
      </c>
      <c r="C26">
        <v>2524.3000000000002</v>
      </c>
      <c r="D26">
        <v>11672.25</v>
      </c>
      <c r="E26">
        <v>1.732154</v>
      </c>
    </row>
    <row r="27" spans="1:5">
      <c r="A27">
        <v>1970</v>
      </c>
      <c r="B27">
        <v>2317.5</v>
      </c>
      <c r="C27">
        <v>2630</v>
      </c>
      <c r="D27">
        <v>11650.04</v>
      </c>
      <c r="E27">
        <v>1.166228</v>
      </c>
    </row>
    <row r="28" spans="1:5">
      <c r="A28">
        <v>1971</v>
      </c>
      <c r="B28">
        <v>2405.1999999999998</v>
      </c>
      <c r="C28">
        <v>2745.3</v>
      </c>
      <c r="D28">
        <v>12312.92</v>
      </c>
      <c r="E28">
        <v>-0.71223999999999998</v>
      </c>
    </row>
    <row r="29" spans="1:5">
      <c r="A29">
        <v>1972</v>
      </c>
      <c r="B29">
        <v>2550.5</v>
      </c>
      <c r="C29">
        <v>2874.3</v>
      </c>
      <c r="D29">
        <v>13499.92</v>
      </c>
      <c r="E29">
        <v>-0.15573999999999999</v>
      </c>
    </row>
    <row r="30" spans="1:5">
      <c r="A30">
        <v>1973</v>
      </c>
      <c r="B30">
        <v>2675.9</v>
      </c>
      <c r="C30">
        <v>3072.3</v>
      </c>
      <c r="D30">
        <v>13080.96</v>
      </c>
      <c r="E30">
        <v>1.4138390000000001</v>
      </c>
    </row>
    <row r="31" spans="1:5">
      <c r="A31">
        <v>1974</v>
      </c>
      <c r="B31">
        <v>2653.7</v>
      </c>
      <c r="C31">
        <v>3051.9</v>
      </c>
      <c r="D31">
        <v>11868.79</v>
      </c>
      <c r="E31">
        <v>-1.04257</v>
      </c>
    </row>
    <row r="32" spans="1:5">
      <c r="A32">
        <v>1975</v>
      </c>
      <c r="B32">
        <v>2710.9</v>
      </c>
      <c r="C32">
        <v>3108.5</v>
      </c>
      <c r="D32">
        <v>12634.36</v>
      </c>
      <c r="E32">
        <v>-3.5335899999999998</v>
      </c>
    </row>
    <row r="33" spans="1:5">
      <c r="A33">
        <v>1976</v>
      </c>
      <c r="B33">
        <v>2868.9</v>
      </c>
      <c r="C33">
        <v>3243.5</v>
      </c>
      <c r="D33">
        <v>13456.78</v>
      </c>
      <c r="E33">
        <v>-0.65676999999999996</v>
      </c>
    </row>
    <row r="34" spans="1:5">
      <c r="A34">
        <v>1977</v>
      </c>
      <c r="B34">
        <v>2992.1</v>
      </c>
      <c r="C34">
        <v>3360.7</v>
      </c>
      <c r="D34">
        <v>13786.31</v>
      </c>
      <c r="E34">
        <v>-1.1904300000000001</v>
      </c>
    </row>
    <row r="35" spans="1:5">
      <c r="A35">
        <v>1978</v>
      </c>
      <c r="B35">
        <v>3124.7</v>
      </c>
      <c r="C35">
        <v>3527.5</v>
      </c>
      <c r="D35">
        <v>14450.5</v>
      </c>
      <c r="E35">
        <v>0.113048</v>
      </c>
    </row>
    <row r="36" spans="1:5">
      <c r="A36">
        <v>1979</v>
      </c>
      <c r="B36">
        <v>3203.2</v>
      </c>
      <c r="C36">
        <v>3628.6</v>
      </c>
      <c r="D36">
        <v>15340</v>
      </c>
      <c r="E36">
        <v>1.70421</v>
      </c>
    </row>
    <row r="37" spans="1:5">
      <c r="A37">
        <v>1980</v>
      </c>
      <c r="B37">
        <v>3193</v>
      </c>
      <c r="C37">
        <v>3658</v>
      </c>
      <c r="D37">
        <v>15964.95</v>
      </c>
      <c r="E37">
        <v>2.2984960000000001</v>
      </c>
    </row>
    <row r="38" spans="1:5">
      <c r="A38">
        <v>1981</v>
      </c>
      <c r="B38">
        <v>3236</v>
      </c>
      <c r="C38">
        <v>3741.1</v>
      </c>
      <c r="D38">
        <v>15964.99</v>
      </c>
      <c r="E38">
        <v>4.7038469999999997</v>
      </c>
    </row>
    <row r="39" spans="1:5">
      <c r="A39">
        <v>1982</v>
      </c>
      <c r="B39">
        <v>3275.5</v>
      </c>
      <c r="C39">
        <v>3791.7</v>
      </c>
      <c r="D39">
        <v>16312.51</v>
      </c>
      <c r="E39">
        <v>4.4490270000000001</v>
      </c>
    </row>
    <row r="40" spans="1:5">
      <c r="A40">
        <v>1983</v>
      </c>
      <c r="B40">
        <v>3454.3</v>
      </c>
      <c r="C40">
        <v>3906.9</v>
      </c>
      <c r="D40">
        <v>16944.849999999999</v>
      </c>
      <c r="E40">
        <v>4.6909720000000004</v>
      </c>
    </row>
    <row r="41" spans="1:5">
      <c r="A41">
        <v>1984</v>
      </c>
      <c r="B41">
        <v>3640.6</v>
      </c>
      <c r="C41">
        <v>4207.6000000000004</v>
      </c>
      <c r="D41">
        <v>17526.75</v>
      </c>
      <c r="E41">
        <v>5.8483320000000001</v>
      </c>
    </row>
    <row r="42" spans="1:5">
      <c r="A42">
        <v>1985</v>
      </c>
      <c r="B42">
        <v>3820.9</v>
      </c>
      <c r="C42">
        <v>4347.8</v>
      </c>
      <c r="D42">
        <v>19068.349999999999</v>
      </c>
      <c r="E42">
        <v>4.3305040000000004</v>
      </c>
    </row>
    <row r="43" spans="1:5">
      <c r="A43">
        <v>1986</v>
      </c>
      <c r="B43">
        <v>3981.2</v>
      </c>
      <c r="C43">
        <v>4486.6000000000004</v>
      </c>
      <c r="D43">
        <v>20530.04</v>
      </c>
      <c r="E43">
        <v>3.7680310000000001</v>
      </c>
    </row>
    <row r="44" spans="1:5">
      <c r="A44">
        <v>1987</v>
      </c>
      <c r="B44">
        <v>4113.3999999999996</v>
      </c>
      <c r="C44">
        <v>4582.5</v>
      </c>
      <c r="D44">
        <v>21235.69</v>
      </c>
      <c r="E44">
        <v>2.8194689999999998</v>
      </c>
    </row>
    <row r="45" spans="1:5">
      <c r="A45">
        <v>1988</v>
      </c>
      <c r="B45">
        <v>4279.5</v>
      </c>
      <c r="C45">
        <v>4784.1000000000004</v>
      </c>
      <c r="D45">
        <v>22331.99</v>
      </c>
      <c r="E45">
        <v>3.287061</v>
      </c>
    </row>
    <row r="46" spans="1:5">
      <c r="A46">
        <v>1989</v>
      </c>
      <c r="B46">
        <v>4393.7</v>
      </c>
      <c r="C46">
        <v>4906.5</v>
      </c>
      <c r="D46">
        <v>23659.8</v>
      </c>
      <c r="E46">
        <v>4.3179559999999997</v>
      </c>
    </row>
    <row r="47" spans="1:5">
      <c r="A47">
        <v>1990</v>
      </c>
      <c r="B47">
        <v>4474.5</v>
      </c>
      <c r="C47">
        <v>5014.2</v>
      </c>
      <c r="D47">
        <v>23105.13</v>
      </c>
      <c r="E47">
        <v>3.5950250000000001</v>
      </c>
    </row>
    <row r="48" spans="1:5">
      <c r="A48">
        <v>1991</v>
      </c>
      <c r="B48">
        <v>4466.6000000000004</v>
      </c>
      <c r="C48">
        <v>5033</v>
      </c>
      <c r="D48">
        <v>24050.21</v>
      </c>
      <c r="E48">
        <v>1.8027569999999999</v>
      </c>
    </row>
    <row r="49" spans="1:5">
      <c r="A49">
        <v>1992</v>
      </c>
      <c r="B49">
        <v>4594.5</v>
      </c>
      <c r="C49">
        <v>5189.3</v>
      </c>
      <c r="D49">
        <v>24418.2</v>
      </c>
      <c r="E49">
        <v>1.007439</v>
      </c>
    </row>
    <row r="50" spans="1:5">
      <c r="A50">
        <v>1993</v>
      </c>
      <c r="B50">
        <v>4748.8999999999996</v>
      </c>
      <c r="C50">
        <v>5261.3</v>
      </c>
      <c r="D50">
        <v>25092.33</v>
      </c>
      <c r="E50">
        <v>0.62478999999999996</v>
      </c>
    </row>
    <row r="51" spans="1:5">
      <c r="A51">
        <v>1994</v>
      </c>
      <c r="B51">
        <v>4928.1000000000004</v>
      </c>
      <c r="C51">
        <v>5397.2</v>
      </c>
      <c r="D51">
        <v>25218.6</v>
      </c>
      <c r="E51">
        <v>2.2060019999999998</v>
      </c>
    </row>
    <row r="52" spans="1:5">
      <c r="A52">
        <v>1995</v>
      </c>
      <c r="B52">
        <v>5075.6000000000004</v>
      </c>
      <c r="C52">
        <v>5539.1</v>
      </c>
      <c r="D52">
        <v>27439.73</v>
      </c>
      <c r="E52">
        <v>3.3331430000000002</v>
      </c>
    </row>
    <row r="53" spans="1:5">
      <c r="A53">
        <v>1996</v>
      </c>
      <c r="B53">
        <v>5237.5</v>
      </c>
      <c r="C53">
        <v>5677.7</v>
      </c>
      <c r="D53">
        <v>29448.19</v>
      </c>
      <c r="E53">
        <v>3.0832009999999999</v>
      </c>
    </row>
    <row r="54" spans="1:5">
      <c r="A54">
        <v>1997</v>
      </c>
      <c r="B54">
        <v>5423.9</v>
      </c>
      <c r="C54">
        <v>5854.5</v>
      </c>
      <c r="D54">
        <v>32664.07</v>
      </c>
      <c r="E54">
        <v>3.12</v>
      </c>
    </row>
    <row r="55" spans="1:5">
      <c r="A55">
        <v>1998</v>
      </c>
      <c r="B55">
        <v>5683.7</v>
      </c>
      <c r="C55">
        <v>6168.6</v>
      </c>
      <c r="D55">
        <v>35587.019999999997</v>
      </c>
      <c r="E55">
        <v>3.5839089999999998</v>
      </c>
    </row>
    <row r="56" spans="1:5">
      <c r="A56">
        <v>1999</v>
      </c>
      <c r="B56">
        <v>5968.4</v>
      </c>
      <c r="C56">
        <v>6320</v>
      </c>
      <c r="D56">
        <v>39591.26</v>
      </c>
      <c r="E56">
        <v>3.2452709999999998</v>
      </c>
    </row>
    <row r="57" spans="1:5">
      <c r="A57">
        <v>2000</v>
      </c>
      <c r="B57">
        <v>6257.8</v>
      </c>
      <c r="C57">
        <v>6539.2</v>
      </c>
      <c r="D57">
        <v>38167.72</v>
      </c>
      <c r="E57">
        <v>3.5759699999999999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C03F-D3F3-416E-9095-249494E47DE0}">
  <dimension ref="A1:H20"/>
  <sheetViews>
    <sheetView workbookViewId="0">
      <selection sqref="A1:H20"/>
    </sheetView>
  </sheetViews>
  <sheetFormatPr defaultRowHeight="15"/>
  <sheetData>
    <row r="1" spans="1:8">
      <c r="A1" t="s">
        <v>659</v>
      </c>
    </row>
    <row r="2" spans="1:8">
      <c r="A2" t="s">
        <v>660</v>
      </c>
    </row>
    <row r="4" spans="1:8">
      <c r="A4" t="s">
        <v>114</v>
      </c>
      <c r="B4" t="s">
        <v>92</v>
      </c>
      <c r="C4" t="s">
        <v>10</v>
      </c>
      <c r="D4" t="s">
        <v>11</v>
      </c>
      <c r="E4" t="s">
        <v>463</v>
      </c>
      <c r="F4" t="s">
        <v>479</v>
      </c>
      <c r="G4" t="s">
        <v>480</v>
      </c>
      <c r="H4" t="s">
        <v>661</v>
      </c>
    </row>
    <row r="5" spans="1:8">
      <c r="A5">
        <v>1947</v>
      </c>
      <c r="B5">
        <v>60323</v>
      </c>
      <c r="C5">
        <v>830</v>
      </c>
      <c r="D5">
        <v>234289</v>
      </c>
      <c r="E5">
        <v>2356</v>
      </c>
      <c r="F5">
        <v>1590</v>
      </c>
      <c r="G5">
        <v>107608</v>
      </c>
      <c r="H5">
        <v>1</v>
      </c>
    </row>
    <row r="6" spans="1:8">
      <c r="A6">
        <v>1948</v>
      </c>
      <c r="B6">
        <v>61122</v>
      </c>
      <c r="C6">
        <v>885</v>
      </c>
      <c r="D6">
        <v>259426</v>
      </c>
      <c r="E6">
        <v>2325</v>
      </c>
      <c r="F6">
        <v>1456</v>
      </c>
      <c r="G6">
        <v>108632</v>
      </c>
      <c r="H6">
        <v>2</v>
      </c>
    </row>
    <row r="7" spans="1:8">
      <c r="A7">
        <v>1949</v>
      </c>
      <c r="B7">
        <v>60171</v>
      </c>
      <c r="C7">
        <v>882</v>
      </c>
      <c r="D7">
        <v>258054</v>
      </c>
      <c r="E7">
        <v>3682</v>
      </c>
      <c r="F7">
        <v>1616</v>
      </c>
      <c r="G7">
        <v>109773</v>
      </c>
      <c r="H7">
        <v>3</v>
      </c>
    </row>
    <row r="8" spans="1:8">
      <c r="A8">
        <v>1950</v>
      </c>
      <c r="B8">
        <v>61187</v>
      </c>
      <c r="C8">
        <v>895</v>
      </c>
      <c r="D8">
        <v>284599</v>
      </c>
      <c r="E8">
        <v>3351</v>
      </c>
      <c r="F8">
        <v>1650</v>
      </c>
      <c r="G8">
        <v>110929</v>
      </c>
      <c r="H8">
        <v>4</v>
      </c>
    </row>
    <row r="9" spans="1:8">
      <c r="A9">
        <v>1951</v>
      </c>
      <c r="B9">
        <v>63221</v>
      </c>
      <c r="C9">
        <v>962</v>
      </c>
      <c r="D9">
        <v>328975</v>
      </c>
      <c r="E9">
        <v>2099</v>
      </c>
      <c r="F9">
        <v>3099</v>
      </c>
      <c r="G9">
        <v>112075</v>
      </c>
      <c r="H9">
        <v>5</v>
      </c>
    </row>
    <row r="10" spans="1:8">
      <c r="A10">
        <v>1952</v>
      </c>
      <c r="B10">
        <v>63639</v>
      </c>
      <c r="C10">
        <v>981</v>
      </c>
      <c r="D10">
        <v>346999</v>
      </c>
      <c r="E10">
        <v>1932</v>
      </c>
      <c r="F10">
        <v>3594</v>
      </c>
      <c r="G10">
        <v>113270</v>
      </c>
      <c r="H10">
        <v>6</v>
      </c>
    </row>
    <row r="11" spans="1:8">
      <c r="A11">
        <v>1953</v>
      </c>
      <c r="B11">
        <v>64989</v>
      </c>
      <c r="C11">
        <v>990</v>
      </c>
      <c r="D11">
        <v>365385</v>
      </c>
      <c r="E11">
        <v>1870</v>
      </c>
      <c r="F11">
        <v>3547</v>
      </c>
      <c r="G11">
        <v>115094</v>
      </c>
      <c r="H11">
        <v>7</v>
      </c>
    </row>
    <row r="12" spans="1:8">
      <c r="A12">
        <v>1954</v>
      </c>
      <c r="B12">
        <v>63761</v>
      </c>
      <c r="C12">
        <v>1000</v>
      </c>
      <c r="D12">
        <v>363112</v>
      </c>
      <c r="E12">
        <v>3578</v>
      </c>
      <c r="F12">
        <v>3350</v>
      </c>
      <c r="G12">
        <v>116219</v>
      </c>
      <c r="H12">
        <v>8</v>
      </c>
    </row>
    <row r="13" spans="1:8">
      <c r="A13">
        <v>1955</v>
      </c>
      <c r="B13">
        <v>66019</v>
      </c>
      <c r="C13">
        <v>1012</v>
      </c>
      <c r="D13">
        <v>397469</v>
      </c>
      <c r="E13">
        <v>2904</v>
      </c>
      <c r="F13">
        <v>3048</v>
      </c>
      <c r="G13">
        <v>117388</v>
      </c>
      <c r="H13">
        <v>9</v>
      </c>
    </row>
    <row r="14" spans="1:8">
      <c r="A14">
        <v>1956</v>
      </c>
      <c r="B14">
        <v>67857</v>
      </c>
      <c r="C14">
        <v>1046</v>
      </c>
      <c r="D14">
        <v>419180</v>
      </c>
      <c r="E14">
        <v>2822</v>
      </c>
      <c r="F14">
        <v>2857</v>
      </c>
      <c r="G14">
        <v>118734</v>
      </c>
      <c r="H14">
        <v>10</v>
      </c>
    </row>
    <row r="15" spans="1:8">
      <c r="A15">
        <v>1957</v>
      </c>
      <c r="B15">
        <v>68169</v>
      </c>
      <c r="C15">
        <v>1084</v>
      </c>
      <c r="D15">
        <v>442769</v>
      </c>
      <c r="E15">
        <v>2936</v>
      </c>
      <c r="F15">
        <v>2798</v>
      </c>
      <c r="G15">
        <v>120445</v>
      </c>
      <c r="H15">
        <v>11</v>
      </c>
    </row>
    <row r="16" spans="1:8">
      <c r="A16">
        <v>1958</v>
      </c>
      <c r="B16">
        <v>66513</v>
      </c>
      <c r="C16">
        <v>1108</v>
      </c>
      <c r="D16">
        <v>444546</v>
      </c>
      <c r="E16">
        <v>4681</v>
      </c>
      <c r="F16">
        <v>2637</v>
      </c>
      <c r="G16">
        <v>121950</v>
      </c>
      <c r="H16">
        <v>12</v>
      </c>
    </row>
    <row r="17" spans="1:8">
      <c r="A17">
        <v>1959</v>
      </c>
      <c r="B17">
        <v>68655</v>
      </c>
      <c r="C17">
        <v>1126</v>
      </c>
      <c r="D17">
        <v>482704</v>
      </c>
      <c r="E17">
        <v>3813</v>
      </c>
      <c r="F17">
        <v>2552</v>
      </c>
      <c r="G17">
        <v>123366</v>
      </c>
      <c r="H17">
        <v>13</v>
      </c>
    </row>
    <row r="18" spans="1:8">
      <c r="A18">
        <v>1960</v>
      </c>
      <c r="B18">
        <v>69564</v>
      </c>
      <c r="C18">
        <v>1142</v>
      </c>
      <c r="D18">
        <v>502601</v>
      </c>
      <c r="E18">
        <v>3931</v>
      </c>
      <c r="F18">
        <v>2514</v>
      </c>
      <c r="G18">
        <v>125368</v>
      </c>
      <c r="H18">
        <v>14</v>
      </c>
    </row>
    <row r="19" spans="1:8">
      <c r="A19">
        <v>1961</v>
      </c>
      <c r="B19">
        <v>69331</v>
      </c>
      <c r="C19">
        <v>1157</v>
      </c>
      <c r="D19">
        <v>518173</v>
      </c>
      <c r="E19">
        <v>4806</v>
      </c>
      <c r="F19">
        <v>2572</v>
      </c>
      <c r="G19">
        <v>127852</v>
      </c>
      <c r="H19">
        <v>15</v>
      </c>
    </row>
    <row r="20" spans="1:8">
      <c r="A20">
        <v>1962</v>
      </c>
      <c r="B20">
        <v>70551</v>
      </c>
      <c r="C20">
        <v>1169</v>
      </c>
      <c r="D20">
        <v>554894</v>
      </c>
      <c r="E20">
        <v>4007</v>
      </c>
      <c r="F20">
        <v>2827</v>
      </c>
      <c r="G20">
        <v>130081</v>
      </c>
      <c r="H20">
        <v>16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7B60-6BA6-4BCE-8025-72AAF49CC2AA}">
  <dimension ref="A1:C15"/>
  <sheetViews>
    <sheetView workbookViewId="0">
      <selection sqref="A1:C15"/>
    </sheetView>
  </sheetViews>
  <sheetFormatPr defaultRowHeight="15"/>
  <sheetData>
    <row r="1" spans="1:3">
      <c r="A1" t="s">
        <v>662</v>
      </c>
    </row>
    <row r="2" spans="1:3">
      <c r="A2" t="s">
        <v>663</v>
      </c>
    </row>
    <row r="4" spans="1:3">
      <c r="A4" t="s">
        <v>92</v>
      </c>
      <c r="B4" t="s">
        <v>11</v>
      </c>
      <c r="C4" t="s">
        <v>463</v>
      </c>
    </row>
    <row r="5" spans="1:3">
      <c r="A5">
        <v>-10</v>
      </c>
      <c r="B5">
        <v>1</v>
      </c>
      <c r="C5">
        <v>1</v>
      </c>
    </row>
    <row r="6" spans="1:3">
      <c r="A6">
        <v>-8</v>
      </c>
      <c r="B6">
        <v>2</v>
      </c>
      <c r="C6">
        <v>3</v>
      </c>
    </row>
    <row r="7" spans="1:3">
      <c r="A7">
        <v>-6</v>
      </c>
      <c r="B7">
        <v>3</v>
      </c>
      <c r="C7">
        <v>5</v>
      </c>
    </row>
    <row r="8" spans="1:3">
      <c r="A8">
        <v>-4</v>
      </c>
      <c r="B8">
        <v>4</v>
      </c>
      <c r="C8">
        <v>7</v>
      </c>
    </row>
    <row r="9" spans="1:3">
      <c r="A9">
        <v>-2</v>
      </c>
      <c r="B9">
        <v>5</v>
      </c>
      <c r="C9">
        <v>9</v>
      </c>
    </row>
    <row r="10" spans="1:3">
      <c r="A10">
        <v>0</v>
      </c>
      <c r="B10">
        <v>6</v>
      </c>
      <c r="C10">
        <v>11</v>
      </c>
    </row>
    <row r="11" spans="1:3">
      <c r="A11">
        <v>2</v>
      </c>
      <c r="B11">
        <v>7</v>
      </c>
      <c r="C11">
        <v>13</v>
      </c>
    </row>
    <row r="12" spans="1:3">
      <c r="A12">
        <v>4</v>
      </c>
      <c r="B12">
        <v>8</v>
      </c>
      <c r="C12">
        <v>15</v>
      </c>
    </row>
    <row r="13" spans="1:3">
      <c r="A13">
        <v>6</v>
      </c>
      <c r="B13">
        <v>9</v>
      </c>
      <c r="C13">
        <v>17</v>
      </c>
    </row>
    <row r="14" spans="1:3">
      <c r="A14">
        <v>8</v>
      </c>
      <c r="B14">
        <v>10</v>
      </c>
      <c r="C14">
        <v>19</v>
      </c>
    </row>
    <row r="15" spans="1:3">
      <c r="A15">
        <v>10</v>
      </c>
      <c r="B15">
        <v>11</v>
      </c>
      <c r="C15">
        <v>21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EC01-FB15-469D-A4B9-E5CEBFDB30AA}">
  <dimension ref="A1:D34"/>
  <sheetViews>
    <sheetView workbookViewId="0">
      <selection activeCell="D34" sqref="D34"/>
    </sheetView>
  </sheetViews>
  <sheetFormatPr defaultRowHeight="15"/>
  <sheetData>
    <row r="1" spans="1:4">
      <c r="A1" t="s">
        <v>665</v>
      </c>
    </row>
    <row r="2" spans="1:4">
      <c r="A2" t="s">
        <v>194</v>
      </c>
    </row>
    <row r="3" spans="1:4">
      <c r="A3" t="s">
        <v>63</v>
      </c>
      <c r="B3" t="s">
        <v>197</v>
      </c>
      <c r="C3" t="s">
        <v>513</v>
      </c>
      <c r="D3" t="s">
        <v>664</v>
      </c>
    </row>
    <row r="4" spans="1:4">
      <c r="A4">
        <v>1975</v>
      </c>
      <c r="B4">
        <v>53.8</v>
      </c>
      <c r="C4" s="85">
        <v>1638.3</v>
      </c>
      <c r="D4">
        <v>98185</v>
      </c>
    </row>
    <row r="5" spans="1:4">
      <c r="A5">
        <v>1976</v>
      </c>
      <c r="B5">
        <v>56.9</v>
      </c>
      <c r="C5" s="85">
        <v>1825.3</v>
      </c>
      <c r="D5">
        <v>124228</v>
      </c>
    </row>
    <row r="6" spans="1:4">
      <c r="A6">
        <v>1977</v>
      </c>
      <c r="B6">
        <v>60.6</v>
      </c>
      <c r="C6" s="85">
        <v>2030.9</v>
      </c>
      <c r="D6">
        <v>151907</v>
      </c>
    </row>
    <row r="7" spans="1:4">
      <c r="A7">
        <v>1978</v>
      </c>
      <c r="B7">
        <v>65.2</v>
      </c>
      <c r="C7" s="85">
        <v>2294.6999999999998</v>
      </c>
      <c r="D7">
        <v>176002</v>
      </c>
    </row>
    <row r="8" spans="1:4">
      <c r="A8">
        <v>1979</v>
      </c>
      <c r="B8">
        <v>72.599999999999994</v>
      </c>
      <c r="C8" s="85">
        <v>2563.3000000000002</v>
      </c>
      <c r="D8">
        <v>212007</v>
      </c>
    </row>
    <row r="9" spans="1:4">
      <c r="A9">
        <v>1980</v>
      </c>
      <c r="B9">
        <v>82.4</v>
      </c>
      <c r="C9" s="85">
        <v>2789.5</v>
      </c>
      <c r="D9">
        <v>249750</v>
      </c>
    </row>
    <row r="10" spans="1:4">
      <c r="A10">
        <v>1981</v>
      </c>
      <c r="B10">
        <v>90.9</v>
      </c>
      <c r="C10" s="85">
        <v>3128.4</v>
      </c>
      <c r="D10">
        <v>265067</v>
      </c>
    </row>
    <row r="11" spans="1:4">
      <c r="A11">
        <v>1982</v>
      </c>
      <c r="B11">
        <v>96.5</v>
      </c>
      <c r="C11" s="85">
        <v>3255</v>
      </c>
      <c r="D11">
        <v>247642</v>
      </c>
    </row>
    <row r="12" spans="1:4">
      <c r="A12">
        <v>1983</v>
      </c>
      <c r="B12">
        <v>99.6</v>
      </c>
      <c r="C12" s="85">
        <v>3536.7</v>
      </c>
      <c r="D12">
        <v>268901</v>
      </c>
    </row>
    <row r="13" spans="1:4">
      <c r="A13">
        <v>1984</v>
      </c>
      <c r="B13">
        <v>103.9</v>
      </c>
      <c r="C13" s="85">
        <v>3933.2</v>
      </c>
      <c r="D13">
        <v>332418</v>
      </c>
    </row>
    <row r="14" spans="1:4">
      <c r="A14">
        <v>1985</v>
      </c>
      <c r="B14">
        <v>107.6</v>
      </c>
      <c r="C14" s="85">
        <v>4220.3</v>
      </c>
      <c r="D14">
        <v>338088</v>
      </c>
    </row>
    <row r="15" spans="1:4">
      <c r="A15">
        <v>1986</v>
      </c>
      <c r="B15">
        <v>109.6</v>
      </c>
      <c r="C15" s="85">
        <v>4462.8</v>
      </c>
      <c r="D15">
        <v>368425</v>
      </c>
    </row>
    <row r="16" spans="1:4">
      <c r="A16">
        <v>1987</v>
      </c>
      <c r="B16">
        <v>113.6</v>
      </c>
      <c r="C16" s="85">
        <v>4739.5</v>
      </c>
      <c r="D16">
        <v>409765</v>
      </c>
    </row>
    <row r="17" spans="1:4">
      <c r="A17">
        <v>1988</v>
      </c>
      <c r="B17">
        <v>118.3</v>
      </c>
      <c r="C17" s="85">
        <v>5103.8</v>
      </c>
      <c r="D17">
        <v>447189</v>
      </c>
    </row>
    <row r="18" spans="1:4">
      <c r="A18">
        <v>1989</v>
      </c>
      <c r="B18">
        <v>124</v>
      </c>
      <c r="C18" s="85">
        <v>5484.4</v>
      </c>
      <c r="D18">
        <v>477665</v>
      </c>
    </row>
    <row r="19" spans="1:4">
      <c r="A19">
        <v>1990</v>
      </c>
      <c r="B19">
        <v>130.69999999999999</v>
      </c>
      <c r="C19" s="85">
        <v>5803.1</v>
      </c>
      <c r="D19">
        <v>498438</v>
      </c>
    </row>
    <row r="20" spans="1:4">
      <c r="A20">
        <v>1991</v>
      </c>
      <c r="B20">
        <v>136.19999999999999</v>
      </c>
      <c r="C20" s="85">
        <v>5995.9</v>
      </c>
      <c r="D20">
        <v>491020</v>
      </c>
    </row>
    <row r="21" spans="1:4">
      <c r="A21">
        <v>1992</v>
      </c>
      <c r="B21">
        <v>140.30000000000001</v>
      </c>
      <c r="C21" s="85">
        <v>6337.7</v>
      </c>
      <c r="D21">
        <v>536528</v>
      </c>
    </row>
    <row r="22" spans="1:4">
      <c r="A22">
        <v>1993</v>
      </c>
      <c r="B22">
        <v>144.5</v>
      </c>
      <c r="C22" s="85">
        <v>6657.4</v>
      </c>
      <c r="D22">
        <v>589394</v>
      </c>
    </row>
    <row r="23" spans="1:4">
      <c r="A23">
        <v>1994</v>
      </c>
      <c r="B23">
        <v>148.19999999999999</v>
      </c>
      <c r="C23" s="85">
        <v>7072.2</v>
      </c>
      <c r="D23">
        <v>668690</v>
      </c>
    </row>
    <row r="24" spans="1:4">
      <c r="A24">
        <v>1995</v>
      </c>
      <c r="B24">
        <v>152.4</v>
      </c>
      <c r="C24" s="85">
        <v>7397.7</v>
      </c>
      <c r="D24">
        <v>749374</v>
      </c>
    </row>
    <row r="25" spans="1:4">
      <c r="A25">
        <v>1996</v>
      </c>
      <c r="B25">
        <v>156.9</v>
      </c>
      <c r="C25" s="85">
        <v>7816.9</v>
      </c>
      <c r="D25">
        <v>803113</v>
      </c>
    </row>
    <row r="26" spans="1:4">
      <c r="A26">
        <v>1997</v>
      </c>
      <c r="B26">
        <v>160.5</v>
      </c>
      <c r="C26" s="85">
        <v>8304.2999999999993</v>
      </c>
      <c r="D26">
        <v>876470</v>
      </c>
    </row>
    <row r="27" spans="1:4">
      <c r="A27">
        <v>1998</v>
      </c>
      <c r="B27">
        <v>163</v>
      </c>
      <c r="C27" s="85">
        <v>8747</v>
      </c>
      <c r="D27">
        <v>917103</v>
      </c>
    </row>
    <row r="28" spans="1:4">
      <c r="A28">
        <v>1999</v>
      </c>
      <c r="B28">
        <v>166.6</v>
      </c>
      <c r="C28" s="85">
        <v>9268.4</v>
      </c>
      <c r="D28">
        <v>1029980</v>
      </c>
    </row>
    <row r="29" spans="1:4">
      <c r="A29">
        <v>2000</v>
      </c>
      <c r="B29">
        <v>172.2</v>
      </c>
      <c r="C29" s="85">
        <v>9817</v>
      </c>
      <c r="D29">
        <v>1224408</v>
      </c>
    </row>
    <row r="30" spans="1:4">
      <c r="A30">
        <v>2001</v>
      </c>
      <c r="B30">
        <v>177.1</v>
      </c>
      <c r="C30" s="85">
        <v>10128</v>
      </c>
      <c r="D30">
        <v>1145900</v>
      </c>
    </row>
    <row r="31" spans="1:4">
      <c r="A31">
        <v>2002</v>
      </c>
      <c r="B31">
        <v>179.9</v>
      </c>
      <c r="C31" s="85">
        <v>10469.6</v>
      </c>
      <c r="D31">
        <v>1164720</v>
      </c>
    </row>
    <row r="32" spans="1:4">
      <c r="A32">
        <v>2003</v>
      </c>
      <c r="B32">
        <v>184</v>
      </c>
      <c r="C32" s="85">
        <v>10960.8</v>
      </c>
      <c r="D32">
        <v>1260717</v>
      </c>
    </row>
    <row r="33" spans="1:4">
      <c r="A33">
        <v>2004</v>
      </c>
      <c r="B33">
        <v>188.9</v>
      </c>
      <c r="C33" s="85">
        <v>11712.5</v>
      </c>
      <c r="D33">
        <v>1472926</v>
      </c>
    </row>
    <row r="34" spans="1:4">
      <c r="A34">
        <v>2005</v>
      </c>
      <c r="B34">
        <v>195.3</v>
      </c>
      <c r="C34" s="85">
        <v>12455.8</v>
      </c>
      <c r="D34">
        <v>1677371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F5F6-A5E7-4936-B391-E919BEED1B47}">
  <dimension ref="A1:G31"/>
  <sheetViews>
    <sheetView topLeftCell="A11" workbookViewId="0">
      <selection sqref="A1:G31"/>
    </sheetView>
  </sheetViews>
  <sheetFormatPr defaultRowHeight="15"/>
  <sheetData>
    <row r="1" spans="1:7">
      <c r="A1" t="s">
        <v>666</v>
      </c>
    </row>
    <row r="2" spans="1:7">
      <c r="A2" t="s">
        <v>667</v>
      </c>
    </row>
    <row r="4" spans="1:7">
      <c r="A4" t="s">
        <v>451</v>
      </c>
      <c r="B4" t="s">
        <v>63</v>
      </c>
    </row>
    <row r="5" spans="1:7">
      <c r="A5" t="s">
        <v>452</v>
      </c>
      <c r="B5" t="s">
        <v>668</v>
      </c>
    </row>
    <row r="6" spans="1:7">
      <c r="A6" t="s">
        <v>492</v>
      </c>
      <c r="B6" t="s">
        <v>669</v>
      </c>
    </row>
    <row r="7" spans="1:7">
      <c r="A7" t="s">
        <v>494</v>
      </c>
      <c r="B7" t="s">
        <v>670</v>
      </c>
    </row>
    <row r="8" spans="1:7">
      <c r="B8" t="s">
        <v>671</v>
      </c>
    </row>
    <row r="9" spans="1:7">
      <c r="A9" t="s">
        <v>496</v>
      </c>
      <c r="B9" t="s">
        <v>672</v>
      </c>
    </row>
    <row r="10" spans="1:7">
      <c r="B10" t="s">
        <v>673</v>
      </c>
    </row>
    <row r="11" spans="1:7">
      <c r="A11" t="s">
        <v>498</v>
      </c>
      <c r="B11" t="s">
        <v>674</v>
      </c>
    </row>
    <row r="12" spans="1:7">
      <c r="A12" t="s">
        <v>675</v>
      </c>
      <c r="B12" t="s">
        <v>676</v>
      </c>
    </row>
    <row r="13" spans="1:7">
      <c r="B13" t="s">
        <v>677</v>
      </c>
    </row>
    <row r="15" spans="1:7">
      <c r="A15" t="s">
        <v>456</v>
      </c>
      <c r="B15" t="s">
        <v>92</v>
      </c>
      <c r="C15" t="s">
        <v>11</v>
      </c>
      <c r="D15" t="s">
        <v>463</v>
      </c>
      <c r="E15" t="s">
        <v>479</v>
      </c>
      <c r="F15" t="s">
        <v>480</v>
      </c>
      <c r="G15" t="s">
        <v>509</v>
      </c>
    </row>
    <row r="16" spans="1:7">
      <c r="A16">
        <v>1971</v>
      </c>
      <c r="B16">
        <v>10227</v>
      </c>
      <c r="C16">
        <v>112</v>
      </c>
      <c r="D16">
        <v>121.3</v>
      </c>
      <c r="E16">
        <v>776.8</v>
      </c>
      <c r="F16">
        <v>4.8899999999999997</v>
      </c>
      <c r="G16">
        <v>79367</v>
      </c>
    </row>
    <row r="17" spans="1:7">
      <c r="A17">
        <v>1972</v>
      </c>
      <c r="B17">
        <v>10872</v>
      </c>
      <c r="C17">
        <v>111</v>
      </c>
      <c r="D17">
        <v>125.3</v>
      </c>
      <c r="E17">
        <v>839.6</v>
      </c>
      <c r="F17">
        <v>4.55</v>
      </c>
      <c r="G17">
        <v>82153</v>
      </c>
    </row>
    <row r="18" spans="1:7">
      <c r="A18">
        <v>1973</v>
      </c>
      <c r="B18">
        <v>11350</v>
      </c>
      <c r="C18">
        <v>111.1</v>
      </c>
      <c r="D18">
        <v>133.1</v>
      </c>
      <c r="E18">
        <v>949.8</v>
      </c>
      <c r="F18">
        <v>7.38</v>
      </c>
      <c r="G18">
        <v>85064</v>
      </c>
    </row>
    <row r="19" spans="1:7">
      <c r="A19">
        <v>1974</v>
      </c>
      <c r="B19">
        <v>8775</v>
      </c>
      <c r="C19">
        <v>117.5</v>
      </c>
      <c r="D19">
        <v>147.69999999999999</v>
      </c>
      <c r="E19">
        <v>1038.4000000000001</v>
      </c>
      <c r="F19">
        <v>8.61</v>
      </c>
      <c r="G19">
        <v>86794</v>
      </c>
    </row>
    <row r="20" spans="1:7">
      <c r="A20">
        <v>1975</v>
      </c>
      <c r="B20">
        <v>8539</v>
      </c>
      <c r="C20">
        <v>127.6</v>
      </c>
      <c r="D20">
        <v>161.19999999999999</v>
      </c>
      <c r="E20">
        <v>1142.8</v>
      </c>
      <c r="F20">
        <v>6.16</v>
      </c>
      <c r="G20">
        <v>85846</v>
      </c>
    </row>
    <row r="21" spans="1:7">
      <c r="A21">
        <v>1976</v>
      </c>
      <c r="B21">
        <v>9994</v>
      </c>
      <c r="C21">
        <v>135.69999999999999</v>
      </c>
      <c r="D21">
        <v>170.5</v>
      </c>
      <c r="E21">
        <v>1252.5999999999999</v>
      </c>
      <c r="F21">
        <v>5.22</v>
      </c>
      <c r="G21">
        <v>88752</v>
      </c>
    </row>
    <row r="22" spans="1:7">
      <c r="A22">
        <v>1977</v>
      </c>
      <c r="B22">
        <v>11046</v>
      </c>
      <c r="C22">
        <v>142.9</v>
      </c>
      <c r="D22">
        <v>181.5</v>
      </c>
      <c r="E22">
        <v>1379.3</v>
      </c>
      <c r="F22">
        <v>5.5</v>
      </c>
      <c r="G22">
        <v>92017</v>
      </c>
    </row>
    <row r="23" spans="1:7">
      <c r="A23">
        <v>1978</v>
      </c>
      <c r="B23">
        <v>11164</v>
      </c>
      <c r="C23">
        <v>153.80000000000001</v>
      </c>
      <c r="D23">
        <v>195.3</v>
      </c>
      <c r="E23">
        <v>1551.2</v>
      </c>
      <c r="F23">
        <v>7.78</v>
      </c>
      <c r="G23">
        <v>96048</v>
      </c>
    </row>
    <row r="24" spans="1:7">
      <c r="A24">
        <v>1979</v>
      </c>
      <c r="B24">
        <v>10559</v>
      </c>
      <c r="C24">
        <v>166</v>
      </c>
      <c r="D24">
        <v>217.7</v>
      </c>
      <c r="E24">
        <v>1729.3</v>
      </c>
      <c r="F24">
        <v>10.25</v>
      </c>
      <c r="G24">
        <v>98824</v>
      </c>
    </row>
    <row r="25" spans="1:7">
      <c r="A25">
        <v>1980</v>
      </c>
      <c r="B25">
        <v>8979</v>
      </c>
      <c r="C25">
        <v>179.3</v>
      </c>
      <c r="D25">
        <v>247</v>
      </c>
      <c r="E25">
        <v>1918</v>
      </c>
      <c r="F25">
        <v>11.28</v>
      </c>
      <c r="G25">
        <v>99303</v>
      </c>
    </row>
    <row r="26" spans="1:7">
      <c r="A26">
        <v>1981</v>
      </c>
      <c r="B26">
        <v>8535</v>
      </c>
      <c r="C26">
        <v>190.2</v>
      </c>
      <c r="D26">
        <v>272.3</v>
      </c>
      <c r="E26">
        <v>2127.6</v>
      </c>
      <c r="F26">
        <v>13.73</v>
      </c>
      <c r="G26">
        <v>100397</v>
      </c>
    </row>
    <row r="27" spans="1:7">
      <c r="A27">
        <v>1982</v>
      </c>
      <c r="B27">
        <v>7980</v>
      </c>
      <c r="C27">
        <v>197.6</v>
      </c>
      <c r="D27">
        <v>286.60000000000002</v>
      </c>
      <c r="E27">
        <v>2261.4</v>
      </c>
      <c r="F27">
        <v>11.2</v>
      </c>
      <c r="G27">
        <v>99526</v>
      </c>
    </row>
    <row r="28" spans="1:7">
      <c r="A28">
        <v>1983</v>
      </c>
      <c r="B28">
        <v>9179</v>
      </c>
      <c r="C28">
        <v>202.6</v>
      </c>
      <c r="D28">
        <v>297.39999999999998</v>
      </c>
      <c r="E28">
        <v>2428.1</v>
      </c>
      <c r="F28">
        <v>8.69</v>
      </c>
      <c r="G28">
        <v>100834</v>
      </c>
    </row>
    <row r="29" spans="1:7">
      <c r="A29">
        <v>1984</v>
      </c>
      <c r="B29">
        <v>10394</v>
      </c>
      <c r="C29">
        <v>208.5</v>
      </c>
      <c r="D29">
        <v>307.60000000000002</v>
      </c>
      <c r="E29">
        <v>2670.6</v>
      </c>
      <c r="F29">
        <v>9.65</v>
      </c>
      <c r="G29">
        <v>105005</v>
      </c>
    </row>
    <row r="30" spans="1:7">
      <c r="A30">
        <v>1985</v>
      </c>
      <c r="B30">
        <v>11039</v>
      </c>
      <c r="C30">
        <v>215.2</v>
      </c>
      <c r="D30">
        <v>318.5</v>
      </c>
      <c r="E30">
        <v>2841.1</v>
      </c>
      <c r="F30">
        <v>7.75</v>
      </c>
      <c r="G30">
        <v>107150</v>
      </c>
    </row>
    <row r="31" spans="1:7">
      <c r="A31">
        <v>1986</v>
      </c>
      <c r="B31">
        <v>11450</v>
      </c>
      <c r="C31">
        <v>224.4</v>
      </c>
      <c r="D31">
        <v>323.39999999999998</v>
      </c>
      <c r="E31">
        <v>3022.1</v>
      </c>
      <c r="F31">
        <v>6.31</v>
      </c>
      <c r="G31">
        <v>109597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CB339-AF3B-4E5E-A814-3B1CD5A2F3FA}">
  <dimension ref="A1:J39"/>
  <sheetViews>
    <sheetView topLeftCell="A18" workbookViewId="0">
      <selection sqref="A1:J39"/>
    </sheetView>
  </sheetViews>
  <sheetFormatPr defaultRowHeight="15"/>
  <sheetData>
    <row r="1" spans="1:10">
      <c r="A1" t="s">
        <v>678</v>
      </c>
    </row>
    <row r="2" spans="1:10">
      <c r="A2" t="s">
        <v>679</v>
      </c>
    </row>
    <row r="4" spans="1:10">
      <c r="A4" t="s">
        <v>114</v>
      </c>
      <c r="B4" t="s">
        <v>680</v>
      </c>
      <c r="C4" t="s">
        <v>681</v>
      </c>
      <c r="D4" t="s">
        <v>682</v>
      </c>
      <c r="E4" t="s">
        <v>683</v>
      </c>
      <c r="F4" t="s">
        <v>684</v>
      </c>
      <c r="G4" t="s">
        <v>685</v>
      </c>
      <c r="H4" t="s">
        <v>627</v>
      </c>
      <c r="I4" t="s">
        <v>686</v>
      </c>
      <c r="J4" t="s">
        <v>687</v>
      </c>
    </row>
    <row r="5" spans="1:10">
      <c r="A5">
        <v>1</v>
      </c>
      <c r="B5">
        <v>2157</v>
      </c>
      <c r="C5">
        <v>2.9049999999999998</v>
      </c>
      <c r="D5">
        <v>1121</v>
      </c>
      <c r="E5">
        <v>291</v>
      </c>
      <c r="F5">
        <v>380</v>
      </c>
      <c r="G5">
        <v>7250</v>
      </c>
      <c r="H5">
        <v>38.5</v>
      </c>
      <c r="I5">
        <v>2.34</v>
      </c>
      <c r="J5">
        <v>10.5</v>
      </c>
    </row>
    <row r="6" spans="1:10">
      <c r="A6">
        <v>2</v>
      </c>
      <c r="B6">
        <v>2174</v>
      </c>
      <c r="C6">
        <v>2.97</v>
      </c>
      <c r="D6">
        <v>1128</v>
      </c>
      <c r="E6">
        <v>301</v>
      </c>
      <c r="F6">
        <v>398</v>
      </c>
      <c r="G6">
        <v>7744</v>
      </c>
      <c r="H6">
        <v>39.299999999999997</v>
      </c>
      <c r="I6">
        <v>2.335</v>
      </c>
      <c r="J6">
        <v>10.5</v>
      </c>
    </row>
    <row r="7" spans="1:10">
      <c r="A7">
        <v>3</v>
      </c>
      <c r="B7">
        <v>2062</v>
      </c>
      <c r="C7">
        <v>2.35</v>
      </c>
      <c r="D7">
        <v>1214</v>
      </c>
      <c r="E7">
        <v>326</v>
      </c>
      <c r="F7">
        <v>185</v>
      </c>
      <c r="G7">
        <v>3068</v>
      </c>
      <c r="H7">
        <v>40.1</v>
      </c>
      <c r="I7">
        <v>2.851</v>
      </c>
      <c r="J7">
        <v>8.9</v>
      </c>
    </row>
    <row r="8" spans="1:10">
      <c r="A8">
        <v>4</v>
      </c>
      <c r="B8">
        <v>2111</v>
      </c>
      <c r="C8">
        <v>2.5110000000000001</v>
      </c>
      <c r="D8">
        <v>1203</v>
      </c>
      <c r="E8">
        <v>49</v>
      </c>
      <c r="F8">
        <v>117</v>
      </c>
      <c r="G8">
        <v>1632</v>
      </c>
      <c r="H8">
        <v>22.4</v>
      </c>
      <c r="I8">
        <v>1.159</v>
      </c>
      <c r="J8">
        <v>11.5</v>
      </c>
    </row>
    <row r="9" spans="1:10">
      <c r="A9">
        <v>5</v>
      </c>
      <c r="B9">
        <v>2134</v>
      </c>
      <c r="C9">
        <v>2.7909999999999999</v>
      </c>
      <c r="D9">
        <v>1013</v>
      </c>
      <c r="E9">
        <v>594</v>
      </c>
      <c r="F9">
        <v>730</v>
      </c>
      <c r="G9">
        <v>12710</v>
      </c>
      <c r="H9">
        <v>57.7</v>
      </c>
      <c r="I9">
        <v>1.2290000000000001</v>
      </c>
      <c r="J9">
        <v>8.8000000000000007</v>
      </c>
    </row>
    <row r="10" spans="1:10">
      <c r="A10">
        <v>6</v>
      </c>
      <c r="B10">
        <v>2185</v>
      </c>
      <c r="C10">
        <v>3.04</v>
      </c>
      <c r="D10">
        <v>1135</v>
      </c>
      <c r="E10">
        <v>287</v>
      </c>
      <c r="F10">
        <v>382</v>
      </c>
      <c r="G10">
        <v>7706</v>
      </c>
      <c r="H10">
        <v>38.6</v>
      </c>
      <c r="I10">
        <v>2.6019999999999999</v>
      </c>
      <c r="J10">
        <v>10.7</v>
      </c>
    </row>
    <row r="11" spans="1:10">
      <c r="A11">
        <v>7</v>
      </c>
      <c r="B11">
        <v>2210</v>
      </c>
      <c r="C11">
        <v>3.222</v>
      </c>
      <c r="D11">
        <v>1100</v>
      </c>
      <c r="E11">
        <v>295</v>
      </c>
      <c r="F11">
        <v>474</v>
      </c>
      <c r="G11">
        <v>9338</v>
      </c>
      <c r="H11">
        <v>39</v>
      </c>
      <c r="I11">
        <v>2.1869999999999998</v>
      </c>
      <c r="J11">
        <v>11.2</v>
      </c>
    </row>
    <row r="12" spans="1:10">
      <c r="A12">
        <v>8</v>
      </c>
      <c r="B12">
        <v>2105</v>
      </c>
      <c r="C12">
        <v>2.4929999999999999</v>
      </c>
      <c r="D12">
        <v>1180</v>
      </c>
      <c r="E12">
        <v>310</v>
      </c>
      <c r="F12">
        <v>255</v>
      </c>
      <c r="G12">
        <v>4730</v>
      </c>
      <c r="H12">
        <v>39.9</v>
      </c>
      <c r="I12">
        <v>2.6160000000000001</v>
      </c>
      <c r="J12">
        <v>9.3000000000000007</v>
      </c>
    </row>
    <row r="13" spans="1:10">
      <c r="A13">
        <v>9</v>
      </c>
      <c r="B13">
        <v>2267</v>
      </c>
      <c r="C13">
        <v>2.8380000000000001</v>
      </c>
      <c r="D13">
        <v>1298</v>
      </c>
      <c r="E13">
        <v>252</v>
      </c>
      <c r="F13">
        <v>431</v>
      </c>
      <c r="G13">
        <v>8317</v>
      </c>
      <c r="H13">
        <v>38.9</v>
      </c>
      <c r="I13">
        <v>2.024</v>
      </c>
      <c r="J13">
        <v>11.1</v>
      </c>
    </row>
    <row r="14" spans="1:10">
      <c r="A14">
        <v>10</v>
      </c>
      <c r="B14">
        <v>2205</v>
      </c>
      <c r="C14">
        <v>2.3559999999999999</v>
      </c>
      <c r="D14">
        <v>885</v>
      </c>
      <c r="E14">
        <v>264</v>
      </c>
      <c r="F14">
        <v>373</v>
      </c>
      <c r="G14">
        <v>6789</v>
      </c>
      <c r="H14">
        <v>38.799999999999997</v>
      </c>
      <c r="I14">
        <v>2.6619999999999999</v>
      </c>
      <c r="J14">
        <v>9.5</v>
      </c>
    </row>
    <row r="15" spans="1:10">
      <c r="A15">
        <v>11</v>
      </c>
      <c r="B15">
        <v>2121</v>
      </c>
      <c r="C15">
        <v>2.9220000000000002</v>
      </c>
      <c r="D15">
        <v>1251</v>
      </c>
      <c r="E15">
        <v>328</v>
      </c>
      <c r="F15">
        <v>312</v>
      </c>
      <c r="G15">
        <v>5907</v>
      </c>
      <c r="H15">
        <v>39.799999999999997</v>
      </c>
      <c r="I15">
        <v>2.2869999999999999</v>
      </c>
      <c r="J15">
        <v>10.3</v>
      </c>
    </row>
    <row r="16" spans="1:10">
      <c r="A16">
        <v>12</v>
      </c>
      <c r="B16">
        <v>2109</v>
      </c>
      <c r="C16">
        <v>2.4990000000000001</v>
      </c>
      <c r="D16">
        <v>1207</v>
      </c>
      <c r="E16">
        <v>347</v>
      </c>
      <c r="F16">
        <v>271</v>
      </c>
      <c r="G16">
        <v>5069</v>
      </c>
      <c r="H16">
        <v>39.700000000000003</v>
      </c>
      <c r="I16">
        <v>3.1930000000000001</v>
      </c>
      <c r="J16">
        <v>8.9</v>
      </c>
    </row>
    <row r="17" spans="1:10">
      <c r="A17">
        <v>13</v>
      </c>
      <c r="B17">
        <v>2108</v>
      </c>
      <c r="C17">
        <v>2.7959999999999998</v>
      </c>
      <c r="D17">
        <v>1036</v>
      </c>
      <c r="E17">
        <v>300</v>
      </c>
      <c r="F17">
        <v>259</v>
      </c>
      <c r="G17">
        <v>4614</v>
      </c>
      <c r="H17">
        <v>38.200000000000003</v>
      </c>
      <c r="I17">
        <v>2.04</v>
      </c>
      <c r="J17">
        <v>9.1999999999999993</v>
      </c>
    </row>
    <row r="18" spans="1:10">
      <c r="A18">
        <v>14</v>
      </c>
      <c r="B18">
        <v>2047</v>
      </c>
      <c r="C18">
        <v>2.4529999999999998</v>
      </c>
      <c r="D18">
        <v>1213</v>
      </c>
      <c r="E18">
        <v>297</v>
      </c>
      <c r="F18">
        <v>139</v>
      </c>
      <c r="G18">
        <v>1987</v>
      </c>
      <c r="H18">
        <v>40.299999999999997</v>
      </c>
      <c r="I18">
        <v>2.5449999999999999</v>
      </c>
      <c r="J18">
        <v>9.1</v>
      </c>
    </row>
    <row r="19" spans="1:10">
      <c r="A19">
        <v>15</v>
      </c>
      <c r="B19">
        <v>2174</v>
      </c>
      <c r="C19">
        <v>3.5819999999999999</v>
      </c>
      <c r="D19">
        <v>1141</v>
      </c>
      <c r="E19">
        <v>414</v>
      </c>
      <c r="F19">
        <v>498</v>
      </c>
      <c r="G19">
        <v>10239</v>
      </c>
      <c r="H19">
        <v>40</v>
      </c>
      <c r="I19">
        <v>2.0640000000000001</v>
      </c>
      <c r="J19">
        <v>11.7</v>
      </c>
    </row>
    <row r="20" spans="1:10">
      <c r="A20">
        <v>16</v>
      </c>
      <c r="B20">
        <v>2067</v>
      </c>
      <c r="C20">
        <v>2.9089999999999998</v>
      </c>
      <c r="D20">
        <v>1805</v>
      </c>
      <c r="E20">
        <v>290</v>
      </c>
      <c r="F20">
        <v>239</v>
      </c>
      <c r="G20">
        <v>4439</v>
      </c>
      <c r="H20">
        <v>39.1</v>
      </c>
      <c r="I20">
        <v>2.3010000000000002</v>
      </c>
      <c r="J20">
        <v>10.5</v>
      </c>
    </row>
    <row r="21" spans="1:10">
      <c r="A21">
        <v>17</v>
      </c>
      <c r="B21">
        <v>2159</v>
      </c>
      <c r="C21">
        <v>2.5110000000000001</v>
      </c>
      <c r="D21">
        <v>1075</v>
      </c>
      <c r="E21">
        <v>289</v>
      </c>
      <c r="F21">
        <v>308</v>
      </c>
      <c r="G21">
        <v>5621</v>
      </c>
      <c r="H21">
        <v>39.299999999999997</v>
      </c>
      <c r="I21">
        <v>2.4860000000000002</v>
      </c>
      <c r="J21">
        <v>9.5</v>
      </c>
    </row>
    <row r="22" spans="1:10">
      <c r="A22">
        <v>18</v>
      </c>
      <c r="B22">
        <v>2257</v>
      </c>
      <c r="C22">
        <v>2.516</v>
      </c>
      <c r="D22">
        <v>1093</v>
      </c>
      <c r="E22">
        <v>176</v>
      </c>
      <c r="F22">
        <v>392</v>
      </c>
      <c r="G22">
        <v>7293</v>
      </c>
      <c r="H22">
        <v>37.9</v>
      </c>
      <c r="I22">
        <v>2.0419999999999998</v>
      </c>
      <c r="J22">
        <v>10.1</v>
      </c>
    </row>
    <row r="23" spans="1:10">
      <c r="A23">
        <v>19</v>
      </c>
      <c r="B23">
        <v>1985</v>
      </c>
      <c r="C23">
        <v>1.423</v>
      </c>
      <c r="D23">
        <v>553</v>
      </c>
      <c r="E23">
        <v>381</v>
      </c>
      <c r="F23">
        <v>146</v>
      </c>
      <c r="G23">
        <v>1866</v>
      </c>
      <c r="H23">
        <v>40.6</v>
      </c>
      <c r="I23">
        <v>3.8330000000000002</v>
      </c>
      <c r="J23">
        <v>6.6</v>
      </c>
    </row>
    <row r="24" spans="1:10">
      <c r="A24">
        <v>20</v>
      </c>
      <c r="B24">
        <v>2184</v>
      </c>
      <c r="C24">
        <v>3.6360000000000001</v>
      </c>
      <c r="D24">
        <v>1091</v>
      </c>
      <c r="E24">
        <v>291</v>
      </c>
      <c r="F24">
        <v>560</v>
      </c>
      <c r="G24">
        <v>11240</v>
      </c>
      <c r="H24">
        <v>39.1</v>
      </c>
      <c r="I24">
        <v>2.3279999999999998</v>
      </c>
      <c r="J24">
        <v>11.6</v>
      </c>
    </row>
    <row r="25" spans="1:10">
      <c r="A25">
        <v>21</v>
      </c>
      <c r="B25">
        <v>2084</v>
      </c>
      <c r="C25">
        <v>2.9830000000000001</v>
      </c>
      <c r="D25">
        <v>1327</v>
      </c>
      <c r="E25">
        <v>331</v>
      </c>
      <c r="F25">
        <v>296</v>
      </c>
      <c r="G25">
        <v>5653</v>
      </c>
      <c r="H25">
        <v>39.799999999999997</v>
      </c>
      <c r="I25">
        <v>2.2080000000000002</v>
      </c>
      <c r="J25">
        <v>10.199999999999999</v>
      </c>
    </row>
    <row r="26" spans="1:10">
      <c r="A26">
        <v>22</v>
      </c>
      <c r="B26">
        <v>2051</v>
      </c>
      <c r="C26">
        <v>2.573</v>
      </c>
      <c r="D26">
        <v>1194</v>
      </c>
      <c r="E26">
        <v>279</v>
      </c>
      <c r="F26">
        <v>172</v>
      </c>
      <c r="G26">
        <v>2806</v>
      </c>
      <c r="H26">
        <v>40</v>
      </c>
      <c r="I26">
        <v>2.3620000000000001</v>
      </c>
      <c r="J26">
        <v>9.1</v>
      </c>
    </row>
    <row r="27" spans="1:10">
      <c r="A27">
        <v>23</v>
      </c>
      <c r="B27">
        <v>2127</v>
      </c>
      <c r="C27">
        <v>3.262</v>
      </c>
      <c r="D27">
        <v>1226</v>
      </c>
      <c r="E27">
        <v>314</v>
      </c>
      <c r="F27">
        <v>408</v>
      </c>
      <c r="G27">
        <v>8042</v>
      </c>
      <c r="H27">
        <v>39.5</v>
      </c>
      <c r="I27">
        <v>2.2589999999999999</v>
      </c>
      <c r="J27">
        <v>10.8</v>
      </c>
    </row>
    <row r="28" spans="1:10">
      <c r="A28">
        <v>24</v>
      </c>
      <c r="B28">
        <v>2102</v>
      </c>
      <c r="C28">
        <v>3.234</v>
      </c>
      <c r="D28">
        <v>1188</v>
      </c>
      <c r="E28">
        <v>414</v>
      </c>
      <c r="F28">
        <v>352</v>
      </c>
      <c r="G28">
        <v>7557</v>
      </c>
      <c r="H28">
        <v>39.799999999999997</v>
      </c>
      <c r="I28">
        <v>2.0190000000000001</v>
      </c>
      <c r="J28">
        <v>10.7</v>
      </c>
    </row>
    <row r="29" spans="1:10">
      <c r="A29">
        <v>25</v>
      </c>
      <c r="B29">
        <v>2098</v>
      </c>
      <c r="C29">
        <v>2.2799999999999998</v>
      </c>
      <c r="D29">
        <v>973</v>
      </c>
      <c r="E29">
        <v>364</v>
      </c>
      <c r="F29">
        <v>272</v>
      </c>
      <c r="G29">
        <v>4400</v>
      </c>
      <c r="H29">
        <v>40.6</v>
      </c>
      <c r="I29">
        <v>2.661</v>
      </c>
      <c r="J29">
        <v>8.4</v>
      </c>
    </row>
    <row r="30" spans="1:10">
      <c r="A30">
        <v>26</v>
      </c>
      <c r="B30">
        <v>2042</v>
      </c>
      <c r="C30">
        <v>2.3039999999999998</v>
      </c>
      <c r="D30">
        <v>1085</v>
      </c>
      <c r="E30">
        <v>328</v>
      </c>
      <c r="F30">
        <v>140</v>
      </c>
      <c r="G30">
        <v>1739</v>
      </c>
      <c r="H30">
        <v>41.8</v>
      </c>
      <c r="I30">
        <v>2.444</v>
      </c>
      <c r="J30">
        <v>8.1999999999999993</v>
      </c>
    </row>
    <row r="31" spans="1:10">
      <c r="A31">
        <v>27</v>
      </c>
      <c r="B31">
        <v>2181</v>
      </c>
      <c r="C31">
        <v>2.9119999999999999</v>
      </c>
      <c r="D31">
        <v>1072</v>
      </c>
      <c r="E31">
        <v>304</v>
      </c>
      <c r="F31">
        <v>383</v>
      </c>
      <c r="G31">
        <v>7340</v>
      </c>
      <c r="H31">
        <v>39</v>
      </c>
      <c r="I31">
        <v>2.3370000000000002</v>
      </c>
      <c r="J31">
        <v>10.199999999999999</v>
      </c>
    </row>
    <row r="32" spans="1:10">
      <c r="A32">
        <v>28</v>
      </c>
      <c r="B32">
        <v>2186</v>
      </c>
      <c r="C32">
        <v>3.0150000000000001</v>
      </c>
      <c r="D32">
        <v>1122</v>
      </c>
      <c r="E32">
        <v>30</v>
      </c>
      <c r="F32">
        <v>352</v>
      </c>
      <c r="G32">
        <v>7292</v>
      </c>
      <c r="H32">
        <v>37.200000000000003</v>
      </c>
      <c r="I32">
        <v>2.0459999999999998</v>
      </c>
      <c r="J32">
        <v>10.9</v>
      </c>
    </row>
    <row r="33" spans="1:10">
      <c r="A33">
        <v>29</v>
      </c>
      <c r="B33">
        <v>2188</v>
      </c>
      <c r="C33">
        <v>3.01</v>
      </c>
      <c r="D33">
        <v>990</v>
      </c>
      <c r="E33">
        <v>366</v>
      </c>
      <c r="F33">
        <v>374</v>
      </c>
      <c r="G33">
        <v>7325</v>
      </c>
      <c r="H33">
        <v>38.4</v>
      </c>
      <c r="I33">
        <v>2.847</v>
      </c>
      <c r="J33">
        <v>10.6</v>
      </c>
    </row>
    <row r="34" spans="1:10">
      <c r="A34">
        <v>30</v>
      </c>
      <c r="B34">
        <v>2077</v>
      </c>
      <c r="C34">
        <v>1.901</v>
      </c>
      <c r="D34">
        <v>350</v>
      </c>
      <c r="E34">
        <v>209</v>
      </c>
      <c r="F34">
        <v>95</v>
      </c>
      <c r="G34">
        <v>1370</v>
      </c>
      <c r="H34">
        <v>37.4</v>
      </c>
      <c r="I34">
        <v>4.1580000000000004</v>
      </c>
      <c r="J34">
        <v>8.1999999999999993</v>
      </c>
    </row>
    <row r="35" spans="1:10">
      <c r="A35">
        <v>31</v>
      </c>
      <c r="B35">
        <v>2196</v>
      </c>
      <c r="C35">
        <v>3.0089999999999999</v>
      </c>
      <c r="D35">
        <v>947</v>
      </c>
      <c r="E35">
        <v>294</v>
      </c>
      <c r="F35">
        <v>342</v>
      </c>
      <c r="G35">
        <v>6888</v>
      </c>
      <c r="H35">
        <v>37.5</v>
      </c>
      <c r="I35">
        <v>3.0470000000000002</v>
      </c>
      <c r="J35">
        <v>10.6</v>
      </c>
    </row>
    <row r="36" spans="1:10">
      <c r="A36">
        <v>32</v>
      </c>
      <c r="B36">
        <v>2093</v>
      </c>
      <c r="C36">
        <v>1.899</v>
      </c>
      <c r="D36">
        <v>342</v>
      </c>
      <c r="E36">
        <v>311</v>
      </c>
      <c r="F36">
        <v>120</v>
      </c>
      <c r="G36">
        <v>1425</v>
      </c>
      <c r="H36">
        <v>37.5</v>
      </c>
      <c r="I36">
        <v>4.5119999999999996</v>
      </c>
      <c r="J36">
        <v>8.1</v>
      </c>
    </row>
    <row r="37" spans="1:10">
      <c r="A37">
        <v>33</v>
      </c>
      <c r="B37">
        <v>2173</v>
      </c>
      <c r="C37">
        <v>2.9590000000000001</v>
      </c>
      <c r="D37">
        <v>1116</v>
      </c>
      <c r="E37">
        <v>296</v>
      </c>
      <c r="F37">
        <v>387</v>
      </c>
      <c r="G37">
        <v>7625</v>
      </c>
      <c r="H37">
        <v>39.200000000000003</v>
      </c>
      <c r="I37">
        <v>2.3420000000000001</v>
      </c>
      <c r="J37">
        <v>10.5</v>
      </c>
    </row>
    <row r="38" spans="1:10">
      <c r="A38">
        <v>34</v>
      </c>
      <c r="B38">
        <v>2179</v>
      </c>
      <c r="C38">
        <v>2.9710000000000001</v>
      </c>
      <c r="D38">
        <v>1128</v>
      </c>
      <c r="E38">
        <v>312</v>
      </c>
      <c r="F38">
        <v>397</v>
      </c>
      <c r="G38">
        <v>7779</v>
      </c>
      <c r="H38">
        <v>39.4</v>
      </c>
      <c r="I38">
        <v>2.3410000000000002</v>
      </c>
      <c r="J38">
        <v>10.5</v>
      </c>
    </row>
    <row r="39" spans="1:10">
      <c r="A39">
        <v>35</v>
      </c>
      <c r="B39">
        <v>2200</v>
      </c>
      <c r="C39">
        <v>2.98</v>
      </c>
      <c r="D39">
        <v>1126</v>
      </c>
      <c r="E39">
        <v>204</v>
      </c>
      <c r="F39">
        <v>393</v>
      </c>
      <c r="G39">
        <v>7885</v>
      </c>
      <c r="H39">
        <v>39.200000000000003</v>
      </c>
      <c r="I39">
        <v>2.3410000000000002</v>
      </c>
      <c r="J39">
        <v>10.6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9FCD-6ACB-4A41-9129-D48A840037E2}">
  <dimension ref="A1:G50"/>
  <sheetViews>
    <sheetView workbookViewId="0">
      <selection sqref="A1:G5"/>
    </sheetView>
  </sheetViews>
  <sheetFormatPr defaultRowHeight="15"/>
  <sheetData>
    <row r="1" spans="1:7">
      <c r="A1" t="s">
        <v>688</v>
      </c>
    </row>
    <row r="3" spans="1:7">
      <c r="A3" t="s">
        <v>689</v>
      </c>
      <c r="B3" t="s">
        <v>627</v>
      </c>
      <c r="C3" t="s">
        <v>690</v>
      </c>
      <c r="D3" t="s">
        <v>691</v>
      </c>
      <c r="E3" t="s">
        <v>692</v>
      </c>
      <c r="F3" t="s">
        <v>693</v>
      </c>
      <c r="G3" t="s">
        <v>694</v>
      </c>
    </row>
    <row r="4" spans="1:7">
      <c r="A4">
        <v>79.099999999999994</v>
      </c>
      <c r="B4">
        <v>151</v>
      </c>
      <c r="C4">
        <v>1</v>
      </c>
      <c r="D4">
        <v>91</v>
      </c>
      <c r="E4">
        <v>58</v>
      </c>
      <c r="F4">
        <v>56</v>
      </c>
      <c r="G4">
        <v>510</v>
      </c>
    </row>
    <row r="5" spans="1:7">
      <c r="A5">
        <v>163.5</v>
      </c>
      <c r="B5">
        <v>143</v>
      </c>
      <c r="C5">
        <v>0</v>
      </c>
      <c r="D5">
        <v>113</v>
      </c>
      <c r="E5">
        <v>103</v>
      </c>
      <c r="F5">
        <v>95</v>
      </c>
      <c r="G5">
        <v>583</v>
      </c>
    </row>
    <row r="6" spans="1:7">
      <c r="A6">
        <v>57.8</v>
      </c>
      <c r="B6">
        <v>142</v>
      </c>
      <c r="C6">
        <v>1</v>
      </c>
      <c r="D6">
        <v>89</v>
      </c>
      <c r="E6">
        <v>45</v>
      </c>
      <c r="F6">
        <v>44</v>
      </c>
      <c r="G6">
        <v>533</v>
      </c>
    </row>
    <row r="7" spans="1:7">
      <c r="A7">
        <v>196.9</v>
      </c>
      <c r="B7">
        <v>136</v>
      </c>
      <c r="C7">
        <v>0</v>
      </c>
      <c r="D7">
        <v>121</v>
      </c>
      <c r="E7">
        <v>149</v>
      </c>
      <c r="F7">
        <v>141</v>
      </c>
      <c r="G7">
        <v>577</v>
      </c>
    </row>
    <row r="8" spans="1:7">
      <c r="A8">
        <v>123.4</v>
      </c>
      <c r="B8">
        <v>141</v>
      </c>
      <c r="C8">
        <v>0</v>
      </c>
      <c r="D8">
        <v>121</v>
      </c>
      <c r="E8">
        <v>109</v>
      </c>
      <c r="F8">
        <v>101</v>
      </c>
      <c r="G8">
        <v>591</v>
      </c>
    </row>
    <row r="9" spans="1:7">
      <c r="A9">
        <v>68.2</v>
      </c>
      <c r="B9">
        <v>121</v>
      </c>
      <c r="C9">
        <v>0</v>
      </c>
      <c r="D9">
        <v>110</v>
      </c>
      <c r="E9">
        <v>118</v>
      </c>
      <c r="F9">
        <v>115</v>
      </c>
      <c r="G9">
        <v>547</v>
      </c>
    </row>
    <row r="10" spans="1:7">
      <c r="A10">
        <v>96.3</v>
      </c>
      <c r="B10">
        <v>127</v>
      </c>
      <c r="C10">
        <v>1</v>
      </c>
      <c r="D10">
        <v>111</v>
      </c>
      <c r="E10">
        <v>82</v>
      </c>
      <c r="F10">
        <v>79</v>
      </c>
      <c r="G10">
        <v>519</v>
      </c>
    </row>
    <row r="11" spans="1:7">
      <c r="A11">
        <v>155.5</v>
      </c>
      <c r="B11">
        <v>131</v>
      </c>
      <c r="C11">
        <v>1</v>
      </c>
      <c r="D11">
        <v>109</v>
      </c>
      <c r="E11">
        <v>115</v>
      </c>
      <c r="F11">
        <v>109</v>
      </c>
      <c r="G11">
        <v>542</v>
      </c>
    </row>
    <row r="12" spans="1:7">
      <c r="A12">
        <v>85.6</v>
      </c>
      <c r="B12">
        <v>157</v>
      </c>
      <c r="C12">
        <v>1</v>
      </c>
      <c r="D12">
        <v>90</v>
      </c>
      <c r="E12">
        <v>65</v>
      </c>
      <c r="F12">
        <v>62</v>
      </c>
      <c r="G12">
        <v>553</v>
      </c>
    </row>
    <row r="13" spans="1:7">
      <c r="A13">
        <v>70.5</v>
      </c>
      <c r="B13">
        <v>140</v>
      </c>
      <c r="C13">
        <v>0</v>
      </c>
      <c r="D13">
        <v>118</v>
      </c>
      <c r="E13">
        <v>71</v>
      </c>
      <c r="F13">
        <v>68</v>
      </c>
      <c r="G13">
        <v>632</v>
      </c>
    </row>
    <row r="14" spans="1:7">
      <c r="A14">
        <v>167.4</v>
      </c>
      <c r="B14">
        <v>124</v>
      </c>
      <c r="C14">
        <v>0</v>
      </c>
      <c r="D14">
        <v>105</v>
      </c>
      <c r="E14">
        <v>121</v>
      </c>
      <c r="F14">
        <v>116</v>
      </c>
      <c r="G14">
        <v>580</v>
      </c>
    </row>
    <row r="15" spans="1:7">
      <c r="A15">
        <v>84.9</v>
      </c>
      <c r="B15">
        <v>134</v>
      </c>
      <c r="C15">
        <v>0</v>
      </c>
      <c r="D15">
        <v>108</v>
      </c>
      <c r="E15">
        <v>75</v>
      </c>
      <c r="F15">
        <v>71</v>
      </c>
      <c r="G15">
        <v>595</v>
      </c>
    </row>
    <row r="16" spans="1:7">
      <c r="A16">
        <v>51.1</v>
      </c>
      <c r="B16">
        <v>128</v>
      </c>
      <c r="C16">
        <v>0</v>
      </c>
      <c r="D16">
        <v>113</v>
      </c>
      <c r="E16">
        <v>67</v>
      </c>
      <c r="F16">
        <v>60</v>
      </c>
      <c r="G16">
        <v>624</v>
      </c>
    </row>
    <row r="17" spans="1:7">
      <c r="A17">
        <v>66.400000000000006</v>
      </c>
      <c r="B17">
        <v>135</v>
      </c>
      <c r="C17">
        <v>0</v>
      </c>
      <c r="D17">
        <v>117</v>
      </c>
      <c r="E17">
        <v>62</v>
      </c>
      <c r="F17">
        <v>61</v>
      </c>
      <c r="G17">
        <v>595</v>
      </c>
    </row>
    <row r="18" spans="1:7">
      <c r="A18">
        <v>79.8</v>
      </c>
      <c r="B18">
        <v>152</v>
      </c>
      <c r="C18">
        <v>1</v>
      </c>
      <c r="D18">
        <v>87</v>
      </c>
      <c r="E18">
        <v>57</v>
      </c>
      <c r="F18">
        <v>53</v>
      </c>
      <c r="G18">
        <v>530</v>
      </c>
    </row>
    <row r="19" spans="1:7">
      <c r="A19">
        <v>94.6</v>
      </c>
      <c r="B19">
        <v>142</v>
      </c>
      <c r="C19">
        <v>1</v>
      </c>
      <c r="D19">
        <v>88</v>
      </c>
      <c r="E19">
        <v>81</v>
      </c>
      <c r="F19">
        <v>77</v>
      </c>
      <c r="G19">
        <v>497</v>
      </c>
    </row>
    <row r="20" spans="1:7">
      <c r="A20">
        <v>53.9</v>
      </c>
      <c r="B20">
        <v>143</v>
      </c>
      <c r="C20">
        <v>0</v>
      </c>
      <c r="D20">
        <v>110</v>
      </c>
      <c r="E20">
        <v>66</v>
      </c>
      <c r="F20">
        <v>63</v>
      </c>
      <c r="G20">
        <v>537</v>
      </c>
    </row>
    <row r="21" spans="1:7">
      <c r="A21">
        <v>92.9</v>
      </c>
      <c r="B21">
        <v>135</v>
      </c>
      <c r="C21">
        <v>1</v>
      </c>
      <c r="D21">
        <v>104</v>
      </c>
      <c r="E21">
        <v>123</v>
      </c>
      <c r="F21">
        <v>115</v>
      </c>
      <c r="G21">
        <v>537</v>
      </c>
    </row>
    <row r="22" spans="1:7">
      <c r="A22">
        <v>75</v>
      </c>
      <c r="B22">
        <v>130</v>
      </c>
      <c r="C22">
        <v>0</v>
      </c>
      <c r="D22">
        <v>116</v>
      </c>
      <c r="E22">
        <v>128</v>
      </c>
      <c r="F22">
        <v>128</v>
      </c>
      <c r="G22">
        <v>536</v>
      </c>
    </row>
    <row r="23" spans="1:7">
      <c r="A23">
        <v>122.5</v>
      </c>
      <c r="B23">
        <v>125</v>
      </c>
      <c r="C23">
        <v>0</v>
      </c>
      <c r="D23">
        <v>108</v>
      </c>
      <c r="E23">
        <v>113</v>
      </c>
      <c r="F23">
        <v>105</v>
      </c>
      <c r="G23">
        <v>567</v>
      </c>
    </row>
    <row r="24" spans="1:7">
      <c r="A24">
        <v>74.2</v>
      </c>
      <c r="B24">
        <v>126</v>
      </c>
      <c r="C24">
        <v>0</v>
      </c>
      <c r="D24">
        <v>108</v>
      </c>
      <c r="E24">
        <v>74</v>
      </c>
      <c r="F24">
        <v>67</v>
      </c>
      <c r="G24">
        <v>602</v>
      </c>
    </row>
    <row r="25" spans="1:7">
      <c r="A25">
        <v>43.9</v>
      </c>
      <c r="B25">
        <v>157</v>
      </c>
      <c r="C25">
        <v>1</v>
      </c>
      <c r="D25">
        <v>89</v>
      </c>
      <c r="E25">
        <v>47</v>
      </c>
      <c r="F25">
        <v>44</v>
      </c>
      <c r="G25">
        <v>512</v>
      </c>
    </row>
    <row r="26" spans="1:7">
      <c r="A26">
        <v>121.6</v>
      </c>
      <c r="B26">
        <v>132</v>
      </c>
      <c r="C26">
        <v>0</v>
      </c>
      <c r="D26">
        <v>96</v>
      </c>
      <c r="E26">
        <v>87</v>
      </c>
      <c r="F26">
        <v>83</v>
      </c>
      <c r="G26">
        <v>564</v>
      </c>
    </row>
    <row r="27" spans="1:7">
      <c r="A27">
        <v>96.8</v>
      </c>
      <c r="B27">
        <v>131</v>
      </c>
      <c r="C27">
        <v>0</v>
      </c>
      <c r="D27">
        <v>116</v>
      </c>
      <c r="E27">
        <v>78</v>
      </c>
      <c r="F27">
        <v>73</v>
      </c>
      <c r="G27">
        <v>574</v>
      </c>
    </row>
    <row r="28" spans="1:7">
      <c r="A28">
        <v>52.3</v>
      </c>
      <c r="B28">
        <v>130</v>
      </c>
      <c r="C28">
        <v>0</v>
      </c>
      <c r="D28">
        <v>116</v>
      </c>
      <c r="E28">
        <v>63</v>
      </c>
      <c r="F28">
        <v>57</v>
      </c>
      <c r="G28">
        <v>641</v>
      </c>
    </row>
    <row r="29" spans="1:7">
      <c r="A29">
        <v>199.3</v>
      </c>
      <c r="B29">
        <v>131</v>
      </c>
      <c r="C29">
        <v>0</v>
      </c>
      <c r="D29">
        <v>121</v>
      </c>
      <c r="E29">
        <v>160</v>
      </c>
      <c r="F29">
        <v>143</v>
      </c>
      <c r="G29">
        <v>631</v>
      </c>
    </row>
    <row r="30" spans="1:7">
      <c r="A30">
        <v>34.200000000000003</v>
      </c>
      <c r="B30">
        <v>135</v>
      </c>
      <c r="C30">
        <v>0</v>
      </c>
      <c r="D30">
        <v>109</v>
      </c>
      <c r="E30">
        <v>69</v>
      </c>
      <c r="F30">
        <v>71</v>
      </c>
      <c r="G30">
        <v>540</v>
      </c>
    </row>
    <row r="31" spans="1:7">
      <c r="A31">
        <v>121.6</v>
      </c>
      <c r="B31">
        <v>152</v>
      </c>
      <c r="C31">
        <v>0</v>
      </c>
      <c r="D31">
        <v>112</v>
      </c>
      <c r="E31">
        <v>82</v>
      </c>
      <c r="F31">
        <v>76</v>
      </c>
      <c r="G31">
        <v>571</v>
      </c>
    </row>
    <row r="32" spans="1:7">
      <c r="A32">
        <v>104.3</v>
      </c>
      <c r="B32">
        <v>119</v>
      </c>
      <c r="C32">
        <v>0</v>
      </c>
      <c r="D32">
        <v>107</v>
      </c>
      <c r="E32">
        <v>166</v>
      </c>
      <c r="F32">
        <v>157</v>
      </c>
      <c r="G32">
        <v>521</v>
      </c>
    </row>
    <row r="33" spans="1:7">
      <c r="A33">
        <v>69.599999999999994</v>
      </c>
      <c r="B33">
        <v>166</v>
      </c>
      <c r="C33">
        <v>1</v>
      </c>
      <c r="D33">
        <v>89</v>
      </c>
      <c r="E33">
        <v>58</v>
      </c>
      <c r="F33">
        <v>54</v>
      </c>
      <c r="G33">
        <v>521</v>
      </c>
    </row>
    <row r="34" spans="1:7">
      <c r="A34">
        <v>37.299999999999997</v>
      </c>
      <c r="B34">
        <v>140</v>
      </c>
      <c r="C34">
        <v>0</v>
      </c>
      <c r="D34">
        <v>93</v>
      </c>
      <c r="E34">
        <v>55</v>
      </c>
      <c r="F34">
        <v>54</v>
      </c>
      <c r="G34">
        <v>535</v>
      </c>
    </row>
    <row r="35" spans="1:7">
      <c r="A35">
        <v>75.400000000000006</v>
      </c>
      <c r="B35">
        <v>125</v>
      </c>
      <c r="C35">
        <v>0</v>
      </c>
      <c r="D35">
        <v>109</v>
      </c>
      <c r="E35">
        <v>90</v>
      </c>
      <c r="F35">
        <v>81</v>
      </c>
      <c r="G35">
        <v>586</v>
      </c>
    </row>
    <row r="36" spans="1:7">
      <c r="A36">
        <v>107.2</v>
      </c>
      <c r="B36">
        <v>147</v>
      </c>
      <c r="C36">
        <v>1</v>
      </c>
      <c r="D36">
        <v>104</v>
      </c>
      <c r="E36">
        <v>63</v>
      </c>
      <c r="F36">
        <v>64</v>
      </c>
      <c r="G36">
        <v>560</v>
      </c>
    </row>
    <row r="37" spans="1:7">
      <c r="A37">
        <v>92.3</v>
      </c>
      <c r="B37">
        <v>126</v>
      </c>
      <c r="C37">
        <v>0</v>
      </c>
      <c r="D37">
        <v>118</v>
      </c>
      <c r="E37">
        <v>97</v>
      </c>
      <c r="F37">
        <v>97</v>
      </c>
      <c r="G37">
        <v>542</v>
      </c>
    </row>
    <row r="38" spans="1:7">
      <c r="A38">
        <v>65.3</v>
      </c>
      <c r="B38">
        <v>123</v>
      </c>
      <c r="C38">
        <v>0</v>
      </c>
      <c r="D38">
        <v>102</v>
      </c>
      <c r="E38">
        <v>97</v>
      </c>
      <c r="F38">
        <v>87</v>
      </c>
      <c r="G38">
        <v>526</v>
      </c>
    </row>
    <row r="39" spans="1:7">
      <c r="A39">
        <v>127.2</v>
      </c>
      <c r="B39">
        <v>150</v>
      </c>
      <c r="C39">
        <v>0</v>
      </c>
      <c r="D39">
        <v>100</v>
      </c>
      <c r="E39">
        <v>109</v>
      </c>
      <c r="F39">
        <v>98</v>
      </c>
      <c r="G39">
        <v>531</v>
      </c>
    </row>
    <row r="40" spans="1:7">
      <c r="A40">
        <v>83.1</v>
      </c>
      <c r="B40">
        <v>177</v>
      </c>
      <c r="C40">
        <v>1</v>
      </c>
      <c r="D40">
        <v>87</v>
      </c>
      <c r="E40">
        <v>58</v>
      </c>
      <c r="F40">
        <v>56</v>
      </c>
      <c r="G40">
        <v>638</v>
      </c>
    </row>
    <row r="41" spans="1:7">
      <c r="A41">
        <v>56.6</v>
      </c>
      <c r="B41">
        <v>133</v>
      </c>
      <c r="C41">
        <v>0</v>
      </c>
      <c r="D41">
        <v>104</v>
      </c>
      <c r="E41">
        <v>51</v>
      </c>
      <c r="F41">
        <v>47</v>
      </c>
      <c r="G41">
        <v>599</v>
      </c>
    </row>
    <row r="42" spans="1:7">
      <c r="A42">
        <v>82.6</v>
      </c>
      <c r="B42">
        <v>149</v>
      </c>
      <c r="C42">
        <v>1</v>
      </c>
      <c r="D42">
        <v>88</v>
      </c>
      <c r="E42">
        <v>61</v>
      </c>
      <c r="F42">
        <v>54</v>
      </c>
      <c r="G42">
        <v>515</v>
      </c>
    </row>
    <row r="43" spans="1:7">
      <c r="A43">
        <v>115.1</v>
      </c>
      <c r="B43">
        <v>145</v>
      </c>
      <c r="C43">
        <v>1</v>
      </c>
      <c r="D43">
        <v>104</v>
      </c>
      <c r="E43">
        <v>82</v>
      </c>
      <c r="F43">
        <v>74</v>
      </c>
      <c r="G43">
        <v>560</v>
      </c>
    </row>
    <row r="44" spans="1:7">
      <c r="A44">
        <v>88</v>
      </c>
      <c r="B44">
        <v>148</v>
      </c>
      <c r="C44">
        <v>0</v>
      </c>
      <c r="D44">
        <v>122</v>
      </c>
      <c r="E44">
        <v>72</v>
      </c>
      <c r="F44">
        <v>66</v>
      </c>
      <c r="G44">
        <v>601</v>
      </c>
    </row>
    <row r="45" spans="1:7">
      <c r="A45">
        <v>54.2</v>
      </c>
      <c r="B45">
        <v>141</v>
      </c>
      <c r="C45">
        <v>0</v>
      </c>
      <c r="D45">
        <v>109</v>
      </c>
      <c r="E45">
        <v>56</v>
      </c>
      <c r="F45">
        <v>54</v>
      </c>
      <c r="G45">
        <v>523</v>
      </c>
    </row>
    <row r="46" spans="1:7">
      <c r="A46">
        <v>82.3</v>
      </c>
      <c r="B46">
        <v>162</v>
      </c>
      <c r="C46">
        <v>1</v>
      </c>
      <c r="D46">
        <v>99</v>
      </c>
      <c r="E46">
        <v>75</v>
      </c>
      <c r="F46">
        <v>70</v>
      </c>
      <c r="G46">
        <v>522</v>
      </c>
    </row>
    <row r="47" spans="1:7">
      <c r="A47">
        <v>103</v>
      </c>
      <c r="B47">
        <v>136</v>
      </c>
      <c r="C47">
        <v>0</v>
      </c>
      <c r="D47">
        <v>121</v>
      </c>
      <c r="E47">
        <v>95</v>
      </c>
      <c r="F47">
        <v>96</v>
      </c>
      <c r="G47">
        <v>574</v>
      </c>
    </row>
    <row r="48" spans="1:7">
      <c r="A48">
        <v>45.5</v>
      </c>
      <c r="B48">
        <v>139</v>
      </c>
      <c r="C48">
        <v>1</v>
      </c>
      <c r="D48">
        <v>88</v>
      </c>
      <c r="E48">
        <v>46</v>
      </c>
      <c r="F48">
        <v>41</v>
      </c>
      <c r="G48">
        <v>480</v>
      </c>
    </row>
    <row r="49" spans="1:7">
      <c r="A49">
        <v>50.8</v>
      </c>
      <c r="B49">
        <v>126</v>
      </c>
      <c r="C49">
        <v>0</v>
      </c>
      <c r="D49">
        <v>104</v>
      </c>
      <c r="E49">
        <v>106</v>
      </c>
      <c r="F49">
        <v>97</v>
      </c>
      <c r="G49">
        <v>599</v>
      </c>
    </row>
    <row r="50" spans="1:7">
      <c r="A50">
        <v>84.9</v>
      </c>
      <c r="B50">
        <v>130</v>
      </c>
      <c r="C50">
        <v>0</v>
      </c>
      <c r="D50">
        <v>121</v>
      </c>
      <c r="E50">
        <v>90</v>
      </c>
      <c r="F50">
        <v>91</v>
      </c>
      <c r="G50">
        <v>623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B431-C697-40CF-B3FB-DCDA3CBE9D08}">
  <dimension ref="A1:H50"/>
  <sheetViews>
    <sheetView topLeftCell="A29" workbookViewId="0">
      <selection sqref="A1:H50"/>
    </sheetView>
  </sheetViews>
  <sheetFormatPr defaultRowHeight="15"/>
  <cols>
    <col min="5" max="5" width="6.5703125" bestFit="1" customWidth="1"/>
    <col min="6" max="6" width="5" bestFit="1" customWidth="1"/>
    <col min="7" max="7" width="7" bestFit="1" customWidth="1"/>
    <col min="8" max="8" width="3.140625" bestFit="1" customWidth="1"/>
  </cols>
  <sheetData>
    <row r="1" spans="1:8">
      <c r="A1" t="s">
        <v>695</v>
      </c>
    </row>
    <row r="3" spans="1:8">
      <c r="A3" t="s">
        <v>696</v>
      </c>
      <c r="B3" t="s">
        <v>92</v>
      </c>
      <c r="C3" t="s">
        <v>10</v>
      </c>
      <c r="D3" t="s">
        <v>11</v>
      </c>
      <c r="E3" t="s">
        <v>463</v>
      </c>
      <c r="F3" t="s">
        <v>479</v>
      </c>
      <c r="G3" t="s">
        <v>480</v>
      </c>
      <c r="H3" t="s">
        <v>509</v>
      </c>
    </row>
    <row r="4" spans="1:8">
      <c r="A4">
        <v>1959</v>
      </c>
      <c r="B4" s="86">
        <v>64630</v>
      </c>
      <c r="C4">
        <v>82.908000000000001</v>
      </c>
      <c r="D4">
        <v>509300</v>
      </c>
      <c r="E4" s="86">
        <v>3740</v>
      </c>
      <c r="F4">
        <v>2552</v>
      </c>
      <c r="G4">
        <v>120287</v>
      </c>
      <c r="H4">
        <v>1</v>
      </c>
    </row>
    <row r="5" spans="1:8">
      <c r="A5">
        <v>1960</v>
      </c>
      <c r="B5" s="86">
        <v>65778</v>
      </c>
      <c r="C5">
        <v>84.073999999999998</v>
      </c>
      <c r="D5">
        <v>529500</v>
      </c>
      <c r="E5" s="86">
        <v>3852</v>
      </c>
      <c r="F5">
        <v>2514</v>
      </c>
      <c r="G5">
        <v>121836</v>
      </c>
      <c r="H5">
        <v>2</v>
      </c>
    </row>
    <row r="6" spans="1:8">
      <c r="A6">
        <v>1961</v>
      </c>
      <c r="B6" s="86">
        <v>65746</v>
      </c>
      <c r="C6">
        <v>85.015000000000001</v>
      </c>
      <c r="D6">
        <v>548200</v>
      </c>
      <c r="E6" s="86">
        <v>4714</v>
      </c>
      <c r="F6">
        <v>2573</v>
      </c>
      <c r="G6">
        <v>123404</v>
      </c>
      <c r="H6">
        <v>3</v>
      </c>
    </row>
    <row r="7" spans="1:8">
      <c r="A7">
        <v>1962</v>
      </c>
      <c r="B7" s="86">
        <v>66702</v>
      </c>
      <c r="C7">
        <v>86.186000000000007</v>
      </c>
      <c r="D7">
        <v>589700</v>
      </c>
      <c r="E7" s="86">
        <v>3911</v>
      </c>
      <c r="F7">
        <v>2827</v>
      </c>
      <c r="G7">
        <v>124864</v>
      </c>
      <c r="H7">
        <v>4</v>
      </c>
    </row>
    <row r="8" spans="1:8">
      <c r="A8">
        <v>1963</v>
      </c>
      <c r="B8" s="86">
        <v>67762</v>
      </c>
      <c r="C8">
        <v>87.102999999999994</v>
      </c>
      <c r="D8">
        <v>622200</v>
      </c>
      <c r="E8" s="86">
        <v>4070</v>
      </c>
      <c r="F8">
        <v>2737</v>
      </c>
      <c r="G8">
        <v>127274</v>
      </c>
      <c r="H8">
        <v>5</v>
      </c>
    </row>
    <row r="9" spans="1:8">
      <c r="A9">
        <v>1964</v>
      </c>
      <c r="B9" s="86">
        <v>69305</v>
      </c>
      <c r="C9">
        <v>88.438000000000002</v>
      </c>
      <c r="D9">
        <v>668500</v>
      </c>
      <c r="E9" s="86">
        <v>3786</v>
      </c>
      <c r="F9">
        <v>2738</v>
      </c>
      <c r="G9">
        <v>129427</v>
      </c>
      <c r="H9">
        <v>6</v>
      </c>
    </row>
    <row r="10" spans="1:8">
      <c r="A10">
        <v>1965</v>
      </c>
      <c r="B10" s="86">
        <v>71088</v>
      </c>
      <c r="C10">
        <v>90.055000000000007</v>
      </c>
      <c r="D10">
        <v>724400</v>
      </c>
      <c r="E10" s="86">
        <v>3366</v>
      </c>
      <c r="F10">
        <v>2722</v>
      </c>
      <c r="G10">
        <v>131541</v>
      </c>
      <c r="H10">
        <v>7</v>
      </c>
    </row>
    <row r="11" spans="1:8">
      <c r="A11">
        <v>1966</v>
      </c>
      <c r="B11" s="86">
        <v>72895</v>
      </c>
      <c r="C11">
        <v>92.623999999999995</v>
      </c>
      <c r="D11">
        <v>792900</v>
      </c>
      <c r="E11" s="86">
        <v>2875</v>
      </c>
      <c r="F11">
        <v>3123</v>
      </c>
      <c r="G11">
        <v>133650</v>
      </c>
      <c r="H11">
        <v>8</v>
      </c>
    </row>
    <row r="12" spans="1:8">
      <c r="A12">
        <v>1967</v>
      </c>
      <c r="B12" s="86">
        <v>74372</v>
      </c>
      <c r="C12">
        <v>95.491</v>
      </c>
      <c r="D12">
        <v>838000</v>
      </c>
      <c r="E12" s="86">
        <v>2975</v>
      </c>
      <c r="F12">
        <v>3446</v>
      </c>
      <c r="G12">
        <v>135905</v>
      </c>
      <c r="H12">
        <v>9</v>
      </c>
    </row>
    <row r="13" spans="1:8">
      <c r="A13">
        <v>1968</v>
      </c>
      <c r="B13" s="86">
        <v>75920</v>
      </c>
      <c r="C13">
        <v>99.56</v>
      </c>
      <c r="D13">
        <v>916100</v>
      </c>
      <c r="E13" s="86">
        <v>2817</v>
      </c>
      <c r="F13">
        <v>3535</v>
      </c>
      <c r="G13">
        <v>138171</v>
      </c>
      <c r="H13">
        <v>10</v>
      </c>
    </row>
    <row r="14" spans="1:8">
      <c r="A14">
        <v>1969</v>
      </c>
      <c r="B14" s="86">
        <v>77902</v>
      </c>
      <c r="C14">
        <v>104.504</v>
      </c>
      <c r="D14">
        <v>990700</v>
      </c>
      <c r="E14" s="86">
        <v>2832</v>
      </c>
      <c r="F14">
        <v>3506</v>
      </c>
      <c r="G14">
        <v>140461</v>
      </c>
      <c r="H14">
        <v>11</v>
      </c>
    </row>
    <row r="15" spans="1:8">
      <c r="A15">
        <v>1970</v>
      </c>
      <c r="B15" s="86">
        <v>78678</v>
      </c>
      <c r="C15">
        <v>110.04600000000001</v>
      </c>
      <c r="D15">
        <v>1044900</v>
      </c>
      <c r="E15" s="86">
        <v>4093</v>
      </c>
      <c r="F15">
        <v>3188</v>
      </c>
      <c r="G15">
        <v>143070</v>
      </c>
      <c r="H15">
        <v>12</v>
      </c>
    </row>
    <row r="16" spans="1:8">
      <c r="A16">
        <v>1971</v>
      </c>
      <c r="B16" s="86">
        <v>79367</v>
      </c>
      <c r="C16">
        <v>115.54900000000001</v>
      </c>
      <c r="D16">
        <v>1134700</v>
      </c>
      <c r="E16" s="86">
        <v>5016</v>
      </c>
      <c r="F16">
        <v>2816</v>
      </c>
      <c r="G16">
        <v>145826</v>
      </c>
      <c r="H16">
        <v>13</v>
      </c>
    </row>
    <row r="17" spans="1:8">
      <c r="A17">
        <v>1972</v>
      </c>
      <c r="B17" s="86">
        <v>82153</v>
      </c>
      <c r="C17">
        <v>120.556</v>
      </c>
      <c r="D17">
        <v>1246800</v>
      </c>
      <c r="E17" s="86">
        <v>4882</v>
      </c>
      <c r="F17">
        <v>2449</v>
      </c>
      <c r="G17">
        <v>148592</v>
      </c>
      <c r="H17">
        <v>14</v>
      </c>
    </row>
    <row r="18" spans="1:8">
      <c r="A18">
        <v>1973</v>
      </c>
      <c r="B18" s="86">
        <v>85064</v>
      </c>
      <c r="C18">
        <v>127.307</v>
      </c>
      <c r="D18">
        <v>1395300</v>
      </c>
      <c r="E18" s="86">
        <v>4365</v>
      </c>
      <c r="F18">
        <v>2327</v>
      </c>
      <c r="G18">
        <v>151476</v>
      </c>
      <c r="H18">
        <v>15</v>
      </c>
    </row>
    <row r="19" spans="1:8">
      <c r="A19">
        <v>1974</v>
      </c>
      <c r="B19" s="86">
        <v>86794</v>
      </c>
      <c r="C19">
        <v>138.82</v>
      </c>
      <c r="D19">
        <v>1515500</v>
      </c>
      <c r="E19" s="86">
        <v>5156</v>
      </c>
      <c r="F19">
        <v>2229</v>
      </c>
      <c r="G19">
        <v>154378</v>
      </c>
      <c r="H19">
        <v>16</v>
      </c>
    </row>
    <row r="20" spans="1:8">
      <c r="A20">
        <v>1975</v>
      </c>
      <c r="B20" s="86">
        <v>85846</v>
      </c>
      <c r="C20">
        <v>151.857</v>
      </c>
      <c r="D20">
        <v>1651300</v>
      </c>
      <c r="E20" s="86">
        <v>7929</v>
      </c>
      <c r="F20">
        <v>2180</v>
      </c>
      <c r="G20">
        <v>157344</v>
      </c>
      <c r="H20">
        <v>17</v>
      </c>
    </row>
    <row r="21" spans="1:8">
      <c r="A21">
        <v>1976</v>
      </c>
      <c r="B21" s="86">
        <v>88752</v>
      </c>
      <c r="C21">
        <v>160.68</v>
      </c>
      <c r="D21">
        <v>1842100</v>
      </c>
      <c r="E21" s="86">
        <v>7406</v>
      </c>
      <c r="F21">
        <v>2144</v>
      </c>
      <c r="G21">
        <v>160319</v>
      </c>
      <c r="H21">
        <v>18</v>
      </c>
    </row>
    <row r="22" spans="1:8">
      <c r="A22">
        <v>1977</v>
      </c>
      <c r="B22" s="86">
        <v>92017</v>
      </c>
      <c r="C22">
        <v>170.88399999999999</v>
      </c>
      <c r="D22">
        <v>2051200</v>
      </c>
      <c r="E22" s="86">
        <v>6991</v>
      </c>
      <c r="F22">
        <v>2133</v>
      </c>
      <c r="G22">
        <v>163377</v>
      </c>
      <c r="H22">
        <v>19</v>
      </c>
    </row>
    <row r="23" spans="1:8">
      <c r="A23">
        <v>1978</v>
      </c>
      <c r="B23" s="86">
        <v>96048</v>
      </c>
      <c r="C23">
        <v>182.863</v>
      </c>
      <c r="D23">
        <v>2316300</v>
      </c>
      <c r="E23" s="86">
        <v>6202</v>
      </c>
      <c r="F23">
        <v>2117</v>
      </c>
      <c r="G23">
        <v>166422</v>
      </c>
      <c r="H23">
        <v>20</v>
      </c>
    </row>
    <row r="24" spans="1:8">
      <c r="A24">
        <v>1979</v>
      </c>
      <c r="B24" s="86">
        <v>98824</v>
      </c>
      <c r="C24">
        <v>198.077</v>
      </c>
      <c r="D24">
        <v>2595300</v>
      </c>
      <c r="E24" s="86">
        <v>6137</v>
      </c>
      <c r="F24">
        <v>2088</v>
      </c>
      <c r="G24">
        <v>169440</v>
      </c>
      <c r="H24">
        <v>21</v>
      </c>
    </row>
    <row r="25" spans="1:8">
      <c r="A25">
        <v>1980</v>
      </c>
      <c r="B25" s="86">
        <v>99303</v>
      </c>
      <c r="C25">
        <v>216.07300000000001</v>
      </c>
      <c r="D25">
        <v>2823700</v>
      </c>
      <c r="E25" s="86">
        <v>7637</v>
      </c>
      <c r="F25">
        <v>2102</v>
      </c>
      <c r="G25">
        <v>172437</v>
      </c>
      <c r="H25">
        <v>22</v>
      </c>
    </row>
    <row r="26" spans="1:8">
      <c r="A26">
        <v>1981</v>
      </c>
      <c r="B26" s="86">
        <v>100397</v>
      </c>
      <c r="C26">
        <v>236.38499999999999</v>
      </c>
      <c r="D26">
        <v>3161400</v>
      </c>
      <c r="E26" s="86">
        <v>8273</v>
      </c>
      <c r="F26">
        <v>2142</v>
      </c>
      <c r="G26">
        <v>174929</v>
      </c>
      <c r="H26">
        <v>23</v>
      </c>
    </row>
    <row r="27" spans="1:8">
      <c r="A27">
        <v>1982</v>
      </c>
      <c r="B27" s="86">
        <v>99526</v>
      </c>
      <c r="C27">
        <v>250.798</v>
      </c>
      <c r="D27">
        <v>3291500</v>
      </c>
      <c r="E27" s="86">
        <v>10678</v>
      </c>
      <c r="F27">
        <v>2179</v>
      </c>
      <c r="G27">
        <v>177176</v>
      </c>
      <c r="H27">
        <v>24</v>
      </c>
    </row>
    <row r="28" spans="1:8">
      <c r="A28">
        <v>1983</v>
      </c>
      <c r="B28" s="86">
        <v>100834</v>
      </c>
      <c r="C28">
        <v>260.68</v>
      </c>
      <c r="D28">
        <v>3573800</v>
      </c>
      <c r="E28" s="86">
        <v>10717</v>
      </c>
      <c r="F28">
        <v>2199</v>
      </c>
      <c r="G28">
        <v>179234</v>
      </c>
      <c r="H28">
        <v>25</v>
      </c>
    </row>
    <row r="29" spans="1:8">
      <c r="A29">
        <v>1984</v>
      </c>
      <c r="B29" s="86">
        <v>105005</v>
      </c>
      <c r="C29">
        <v>270.49599999999998</v>
      </c>
      <c r="D29">
        <v>3969500</v>
      </c>
      <c r="E29" s="86">
        <v>8539</v>
      </c>
      <c r="F29">
        <v>2219</v>
      </c>
      <c r="G29">
        <v>181192</v>
      </c>
      <c r="H29">
        <v>26</v>
      </c>
    </row>
    <row r="30" spans="1:8">
      <c r="A30">
        <v>1985</v>
      </c>
      <c r="B30" s="86">
        <v>107150</v>
      </c>
      <c r="C30">
        <v>278.75900000000001</v>
      </c>
      <c r="D30">
        <v>4246800</v>
      </c>
      <c r="E30" s="86">
        <v>8312</v>
      </c>
      <c r="F30">
        <v>2234</v>
      </c>
      <c r="G30">
        <v>183174</v>
      </c>
      <c r="H30">
        <v>27</v>
      </c>
    </row>
    <row r="31" spans="1:8">
      <c r="A31">
        <v>1986</v>
      </c>
      <c r="B31" s="86">
        <v>109597</v>
      </c>
      <c r="C31">
        <v>284.89499999999998</v>
      </c>
      <c r="D31">
        <v>4480600</v>
      </c>
      <c r="E31" s="86">
        <v>8237</v>
      </c>
      <c r="F31">
        <v>2244</v>
      </c>
      <c r="G31">
        <v>185284</v>
      </c>
      <c r="H31">
        <v>28</v>
      </c>
    </row>
    <row r="32" spans="1:8">
      <c r="A32">
        <v>1987</v>
      </c>
      <c r="B32" s="86">
        <v>112440</v>
      </c>
      <c r="C32">
        <v>292.69099999999997</v>
      </c>
      <c r="D32">
        <v>4757400</v>
      </c>
      <c r="E32" s="86">
        <v>7425</v>
      </c>
      <c r="F32">
        <v>2257</v>
      </c>
      <c r="G32">
        <v>187419</v>
      </c>
      <c r="H32">
        <v>29</v>
      </c>
    </row>
    <row r="33" spans="1:8">
      <c r="A33">
        <v>1988</v>
      </c>
      <c r="B33" s="86">
        <v>114968</v>
      </c>
      <c r="C33">
        <v>302.68</v>
      </c>
      <c r="D33">
        <v>5127400</v>
      </c>
      <c r="E33" s="86">
        <v>6701</v>
      </c>
      <c r="F33">
        <v>2224</v>
      </c>
      <c r="G33">
        <v>189233</v>
      </c>
      <c r="H33">
        <v>30</v>
      </c>
    </row>
    <row r="34" spans="1:8">
      <c r="A34">
        <v>1989</v>
      </c>
      <c r="B34" s="86">
        <v>117342</v>
      </c>
      <c r="C34">
        <v>314.17899999999997</v>
      </c>
      <c r="D34">
        <v>5510600</v>
      </c>
      <c r="E34" s="86">
        <v>6528</v>
      </c>
      <c r="F34">
        <v>2208</v>
      </c>
      <c r="G34">
        <v>190862</v>
      </c>
      <c r="H34">
        <v>31</v>
      </c>
    </row>
    <row r="35" spans="1:8">
      <c r="A35">
        <v>1990</v>
      </c>
      <c r="B35" s="86">
        <v>118793</v>
      </c>
      <c r="C35">
        <v>326.35700000000003</v>
      </c>
      <c r="D35">
        <v>5837900</v>
      </c>
      <c r="E35" s="86">
        <v>7047</v>
      </c>
      <c r="F35">
        <v>2167</v>
      </c>
      <c r="G35">
        <v>192644</v>
      </c>
      <c r="H35">
        <v>32</v>
      </c>
    </row>
    <row r="36" spans="1:8">
      <c r="A36">
        <v>1991</v>
      </c>
      <c r="B36" s="86">
        <v>117718</v>
      </c>
      <c r="C36">
        <v>337.74700000000001</v>
      </c>
      <c r="D36">
        <v>6026300</v>
      </c>
      <c r="E36" s="86">
        <v>8628</v>
      </c>
      <c r="F36">
        <v>2118</v>
      </c>
      <c r="G36">
        <v>194936</v>
      </c>
      <c r="H36">
        <v>33</v>
      </c>
    </row>
    <row r="37" spans="1:8">
      <c r="A37">
        <v>1992</v>
      </c>
      <c r="B37" s="86">
        <v>118492</v>
      </c>
      <c r="C37">
        <v>345.47699999999998</v>
      </c>
      <c r="D37">
        <v>6367400</v>
      </c>
      <c r="E37" s="86">
        <v>9613</v>
      </c>
      <c r="F37">
        <v>1966</v>
      </c>
      <c r="G37">
        <v>197205</v>
      </c>
      <c r="H37">
        <v>34</v>
      </c>
    </row>
    <row r="38" spans="1:8">
      <c r="A38">
        <v>1993</v>
      </c>
      <c r="B38" s="86">
        <v>120259</v>
      </c>
      <c r="C38">
        <v>353.51600000000002</v>
      </c>
      <c r="D38">
        <v>6689300</v>
      </c>
      <c r="E38" s="86">
        <v>8940</v>
      </c>
      <c r="F38">
        <v>1760</v>
      </c>
      <c r="G38">
        <v>199622</v>
      </c>
      <c r="H38">
        <v>35</v>
      </c>
    </row>
    <row r="39" spans="1:8">
      <c r="A39">
        <v>1994</v>
      </c>
      <c r="B39" s="86">
        <v>123060</v>
      </c>
      <c r="C39">
        <v>361.02600000000001</v>
      </c>
      <c r="D39">
        <v>7098400</v>
      </c>
      <c r="E39" s="86">
        <v>7996</v>
      </c>
      <c r="F39">
        <v>1673</v>
      </c>
      <c r="G39">
        <v>201970</v>
      </c>
      <c r="H39">
        <v>36</v>
      </c>
    </row>
    <row r="40" spans="1:8">
      <c r="A40">
        <v>1995</v>
      </c>
      <c r="B40" s="86">
        <v>124900</v>
      </c>
      <c r="C40">
        <v>368.44400000000002</v>
      </c>
      <c r="D40">
        <v>7433400</v>
      </c>
      <c r="E40" s="86">
        <v>7404</v>
      </c>
      <c r="F40">
        <v>1579</v>
      </c>
      <c r="G40">
        <v>204420</v>
      </c>
      <c r="H40">
        <v>37</v>
      </c>
    </row>
    <row r="41" spans="1:8">
      <c r="A41">
        <v>1996</v>
      </c>
      <c r="B41" s="86">
        <v>126708</v>
      </c>
      <c r="C41">
        <v>375.42899999999997</v>
      </c>
      <c r="D41">
        <v>7851900</v>
      </c>
      <c r="E41" s="86">
        <v>7236</v>
      </c>
      <c r="F41">
        <v>1502</v>
      </c>
      <c r="G41">
        <v>207087</v>
      </c>
      <c r="H41">
        <v>38</v>
      </c>
    </row>
    <row r="42" spans="1:8">
      <c r="A42">
        <v>1997</v>
      </c>
      <c r="B42" s="86">
        <v>129558</v>
      </c>
      <c r="C42">
        <v>381.66300000000001</v>
      </c>
      <c r="D42">
        <v>8337300</v>
      </c>
      <c r="E42" s="86">
        <v>6739</v>
      </c>
      <c r="F42">
        <v>1457</v>
      </c>
      <c r="G42">
        <v>209846</v>
      </c>
      <c r="H42">
        <v>39</v>
      </c>
    </row>
    <row r="43" spans="1:8">
      <c r="A43">
        <v>1998</v>
      </c>
      <c r="B43" s="86">
        <v>131463</v>
      </c>
      <c r="C43">
        <v>385.88099999999997</v>
      </c>
      <c r="D43">
        <v>8768300</v>
      </c>
      <c r="E43" s="86">
        <v>6210</v>
      </c>
      <c r="F43">
        <v>1423</v>
      </c>
      <c r="G43">
        <v>212638</v>
      </c>
      <c r="H43">
        <v>40</v>
      </c>
    </row>
    <row r="44" spans="1:8">
      <c r="A44">
        <v>1999</v>
      </c>
      <c r="B44" s="86">
        <v>133488</v>
      </c>
      <c r="C44">
        <v>391.452</v>
      </c>
      <c r="D44">
        <v>9302200</v>
      </c>
      <c r="E44" s="86">
        <v>5880</v>
      </c>
      <c r="F44">
        <v>1380</v>
      </c>
      <c r="G44">
        <v>215404</v>
      </c>
      <c r="H44">
        <v>41</v>
      </c>
    </row>
    <row r="45" spans="1:8">
      <c r="A45">
        <v>2000</v>
      </c>
      <c r="B45" s="86">
        <v>136891</v>
      </c>
      <c r="C45">
        <v>399.98599999999999</v>
      </c>
      <c r="D45">
        <v>9855900</v>
      </c>
      <c r="E45" s="86">
        <v>5692</v>
      </c>
      <c r="F45">
        <v>1405</v>
      </c>
      <c r="G45">
        <v>218061</v>
      </c>
      <c r="H45">
        <v>42</v>
      </c>
    </row>
    <row r="46" spans="1:8">
      <c r="A46">
        <v>2001</v>
      </c>
      <c r="B46" s="86">
        <v>136933</v>
      </c>
      <c r="C46">
        <v>409.58199999999999</v>
      </c>
      <c r="D46">
        <v>10171600</v>
      </c>
      <c r="E46" s="86">
        <v>6801</v>
      </c>
      <c r="F46">
        <v>1412</v>
      </c>
      <c r="G46">
        <v>220800</v>
      </c>
      <c r="H46">
        <v>43</v>
      </c>
    </row>
    <row r="47" spans="1:8">
      <c r="A47">
        <v>2002</v>
      </c>
      <c r="B47" s="86">
        <v>136485</v>
      </c>
      <c r="C47">
        <v>416.70400000000001</v>
      </c>
      <c r="D47">
        <v>10500200</v>
      </c>
      <c r="E47" s="86">
        <v>8378</v>
      </c>
      <c r="F47">
        <v>1425</v>
      </c>
      <c r="G47">
        <v>223532</v>
      </c>
      <c r="H47">
        <v>44</v>
      </c>
    </row>
    <row r="48" spans="1:8">
      <c r="A48">
        <v>2003</v>
      </c>
      <c r="B48" s="86">
        <v>137736</v>
      </c>
      <c r="C48">
        <v>425.553</v>
      </c>
      <c r="D48">
        <v>11017600</v>
      </c>
      <c r="E48" s="86">
        <v>8774</v>
      </c>
      <c r="F48">
        <v>1423</v>
      </c>
      <c r="G48">
        <v>226223</v>
      </c>
      <c r="H48">
        <v>45</v>
      </c>
    </row>
    <row r="49" spans="1:8">
      <c r="A49">
        <v>2004</v>
      </c>
      <c r="B49" s="86">
        <v>139252</v>
      </c>
      <c r="C49">
        <v>437.79500000000002</v>
      </c>
      <c r="D49">
        <v>11762100</v>
      </c>
      <c r="E49" s="86">
        <v>8149</v>
      </c>
      <c r="F49">
        <v>1411</v>
      </c>
      <c r="G49">
        <v>228892</v>
      </c>
      <c r="H49">
        <v>46</v>
      </c>
    </row>
    <row r="50" spans="1:8">
      <c r="A50">
        <v>2005</v>
      </c>
      <c r="B50" s="86">
        <v>141730</v>
      </c>
      <c r="C50">
        <v>451.94600000000003</v>
      </c>
      <c r="D50">
        <v>12502400</v>
      </c>
      <c r="E50" s="86">
        <v>7591</v>
      </c>
      <c r="F50">
        <v>1378</v>
      </c>
      <c r="G50">
        <v>231552</v>
      </c>
      <c r="H50">
        <v>47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0BA3-24E7-4069-8E82-CB7658AD17ED}">
  <dimension ref="A1:E33"/>
  <sheetViews>
    <sheetView topLeftCell="A12" workbookViewId="0">
      <selection sqref="A1:E33"/>
    </sheetView>
  </sheetViews>
  <sheetFormatPr defaultRowHeight="15"/>
  <sheetData>
    <row r="1" spans="1:5">
      <c r="A1" t="s">
        <v>697</v>
      </c>
    </row>
    <row r="3" spans="1:5">
      <c r="A3" t="s">
        <v>114</v>
      </c>
      <c r="B3" t="s">
        <v>698</v>
      </c>
      <c r="C3" t="s">
        <v>699</v>
      </c>
      <c r="D3" t="s">
        <v>700</v>
      </c>
      <c r="E3" t="s">
        <v>701</v>
      </c>
    </row>
    <row r="4" spans="1:5">
      <c r="A4">
        <v>1</v>
      </c>
      <c r="B4">
        <v>12.3</v>
      </c>
      <c r="C4">
        <v>4.5430000000000001</v>
      </c>
      <c r="D4">
        <v>3.1349999999999998</v>
      </c>
      <c r="E4">
        <v>0.86</v>
      </c>
    </row>
    <row r="5" spans="1:5">
      <c r="A5">
        <v>2</v>
      </c>
      <c r="B5">
        <v>20.9</v>
      </c>
      <c r="C5">
        <v>5.1589999999999998</v>
      </c>
      <c r="D5">
        <v>5.0430000000000001</v>
      </c>
      <c r="E5">
        <v>1.53</v>
      </c>
    </row>
    <row r="6" spans="1:5">
      <c r="A6">
        <v>3</v>
      </c>
      <c r="B6">
        <v>39</v>
      </c>
      <c r="C6">
        <v>5.3659999999999997</v>
      </c>
      <c r="D6">
        <v>5.4379999999999997</v>
      </c>
      <c r="E6">
        <v>1.57</v>
      </c>
    </row>
    <row r="7" spans="1:5">
      <c r="A7">
        <v>4</v>
      </c>
      <c r="B7">
        <v>47.9</v>
      </c>
      <c r="C7">
        <v>5.7590000000000003</v>
      </c>
      <c r="D7">
        <v>7.4960000000000004</v>
      </c>
      <c r="E7">
        <v>1.81</v>
      </c>
    </row>
    <row r="8" spans="1:5">
      <c r="A8">
        <v>5</v>
      </c>
      <c r="B8">
        <v>5.6</v>
      </c>
      <c r="C8">
        <v>4.6630000000000003</v>
      </c>
      <c r="D8">
        <v>3.8069999999999999</v>
      </c>
      <c r="E8">
        <v>0.99</v>
      </c>
    </row>
    <row r="9" spans="1:5">
      <c r="A9">
        <v>6</v>
      </c>
      <c r="B9">
        <v>25.9</v>
      </c>
      <c r="C9">
        <v>5.6970000000000001</v>
      </c>
      <c r="D9">
        <v>7.601</v>
      </c>
      <c r="E9">
        <v>1.0900000000000001</v>
      </c>
    </row>
    <row r="10" spans="1:5">
      <c r="A10">
        <v>7</v>
      </c>
      <c r="B10">
        <v>37.299999999999997</v>
      </c>
      <c r="C10">
        <v>5.8920000000000003</v>
      </c>
      <c r="D10">
        <v>8.7260000000000009</v>
      </c>
      <c r="E10">
        <v>1.29</v>
      </c>
    </row>
    <row r="11" spans="1:5">
      <c r="A11">
        <v>8</v>
      </c>
      <c r="B11">
        <v>21.9</v>
      </c>
      <c r="C11">
        <v>6.0780000000000003</v>
      </c>
      <c r="D11">
        <v>7.9660000000000002</v>
      </c>
      <c r="E11">
        <v>1.78</v>
      </c>
    </row>
    <row r="12" spans="1:5">
      <c r="A12">
        <v>9</v>
      </c>
      <c r="B12">
        <v>18.100000000000001</v>
      </c>
      <c r="C12">
        <v>4.8979999999999997</v>
      </c>
      <c r="D12">
        <v>3.85</v>
      </c>
      <c r="E12">
        <v>1.29</v>
      </c>
    </row>
    <row r="13" spans="1:5">
      <c r="A13">
        <v>10</v>
      </c>
      <c r="B13">
        <v>21</v>
      </c>
      <c r="C13">
        <v>5.242</v>
      </c>
      <c r="D13">
        <v>4.1740000000000004</v>
      </c>
      <c r="E13">
        <v>1.58</v>
      </c>
    </row>
    <row r="14" spans="1:5">
      <c r="A14">
        <v>11</v>
      </c>
      <c r="B14">
        <v>34.9</v>
      </c>
      <c r="C14">
        <v>5.74</v>
      </c>
      <c r="D14">
        <v>6.1420000000000003</v>
      </c>
      <c r="E14">
        <v>1.68</v>
      </c>
    </row>
    <row r="15" spans="1:5">
      <c r="A15">
        <v>12</v>
      </c>
      <c r="B15">
        <v>57.2</v>
      </c>
      <c r="C15">
        <v>6.4459999999999997</v>
      </c>
      <c r="D15">
        <v>7.9080000000000004</v>
      </c>
      <c r="E15">
        <v>1.9</v>
      </c>
    </row>
    <row r="16" spans="1:5">
      <c r="A16">
        <v>13</v>
      </c>
      <c r="B16">
        <v>0.7</v>
      </c>
      <c r="C16">
        <v>4.4770000000000003</v>
      </c>
      <c r="D16">
        <v>2.996</v>
      </c>
      <c r="E16">
        <v>1.06</v>
      </c>
    </row>
    <row r="17" spans="1:5">
      <c r="A17">
        <v>14</v>
      </c>
      <c r="B17">
        <v>25.9</v>
      </c>
      <c r="C17">
        <v>5.2359999999999998</v>
      </c>
      <c r="D17">
        <v>4.9420000000000002</v>
      </c>
      <c r="E17">
        <v>1.3</v>
      </c>
    </row>
    <row r="18" spans="1:5">
      <c r="A18">
        <v>15</v>
      </c>
      <c r="B18">
        <v>54.9</v>
      </c>
      <c r="C18">
        <v>6.1509999999999998</v>
      </c>
      <c r="D18">
        <v>6.7519999999999998</v>
      </c>
      <c r="E18">
        <v>1.52</v>
      </c>
    </row>
    <row r="19" spans="1:5">
      <c r="A19">
        <v>16</v>
      </c>
      <c r="B19">
        <v>40.9</v>
      </c>
      <c r="C19">
        <v>3.3650000000000002</v>
      </c>
      <c r="D19">
        <v>9.5879999999999992</v>
      </c>
      <c r="E19">
        <v>1.74</v>
      </c>
    </row>
    <row r="20" spans="1:5">
      <c r="A20">
        <v>17</v>
      </c>
      <c r="B20">
        <v>15.9</v>
      </c>
      <c r="C20">
        <v>4.7869999999999999</v>
      </c>
      <c r="D20">
        <v>3.9119999999999999</v>
      </c>
      <c r="E20">
        <v>1.1599999999999999</v>
      </c>
    </row>
    <row r="21" spans="1:5">
      <c r="A21">
        <v>18</v>
      </c>
      <c r="B21">
        <v>6.4</v>
      </c>
      <c r="C21">
        <v>5.1420000000000003</v>
      </c>
      <c r="D21">
        <v>4.7</v>
      </c>
      <c r="E21">
        <v>1.49</v>
      </c>
    </row>
    <row r="22" spans="1:5">
      <c r="A22">
        <v>19</v>
      </c>
      <c r="B22">
        <v>18</v>
      </c>
      <c r="C22">
        <v>5.2469999999999999</v>
      </c>
      <c r="D22">
        <v>6.1740000000000004</v>
      </c>
      <c r="E22">
        <v>1.63</v>
      </c>
    </row>
    <row r="23" spans="1:5">
      <c r="A23">
        <v>20</v>
      </c>
      <c r="B23">
        <v>38.9</v>
      </c>
      <c r="C23">
        <v>5.4379999999999997</v>
      </c>
      <c r="D23">
        <v>9.0640000000000001</v>
      </c>
      <c r="E23">
        <v>1.99</v>
      </c>
    </row>
    <row r="24" spans="1:5">
      <c r="A24">
        <v>21</v>
      </c>
      <c r="B24">
        <v>14</v>
      </c>
      <c r="C24">
        <v>4.5640000000000001</v>
      </c>
      <c r="D24">
        <v>4.9489999999999998</v>
      </c>
      <c r="E24">
        <v>1.1499999999999999</v>
      </c>
    </row>
    <row r="25" spans="1:5">
      <c r="A25">
        <v>22</v>
      </c>
      <c r="B25">
        <v>15.2</v>
      </c>
      <c r="C25">
        <v>5.298</v>
      </c>
      <c r="D25">
        <v>5.22</v>
      </c>
      <c r="E25">
        <v>1.33</v>
      </c>
    </row>
    <row r="26" spans="1:5">
      <c r="A26">
        <v>23</v>
      </c>
      <c r="B26">
        <v>32</v>
      </c>
      <c r="C26">
        <v>5.4550000000000001</v>
      </c>
      <c r="D26">
        <v>9.2420000000000009</v>
      </c>
      <c r="E26">
        <v>1.44</v>
      </c>
    </row>
    <row r="27" spans="1:5">
      <c r="A27">
        <v>24</v>
      </c>
      <c r="B27">
        <v>56.7</v>
      </c>
      <c r="C27">
        <v>5.8550000000000004</v>
      </c>
      <c r="D27">
        <v>10.199</v>
      </c>
      <c r="E27">
        <v>2.0099999999999998</v>
      </c>
    </row>
    <row r="28" spans="1:5">
      <c r="A28">
        <v>25</v>
      </c>
      <c r="B28">
        <v>16.8</v>
      </c>
      <c r="C28">
        <v>5.3659999999999997</v>
      </c>
      <c r="D28">
        <v>3.6640000000000001</v>
      </c>
      <c r="E28">
        <v>1.31</v>
      </c>
    </row>
    <row r="29" spans="1:5">
      <c r="A29">
        <v>26</v>
      </c>
      <c r="B29">
        <v>11.6</v>
      </c>
      <c r="C29">
        <v>6.0430000000000001</v>
      </c>
      <c r="D29">
        <v>3.2189999999999999</v>
      </c>
      <c r="E29">
        <v>1.46</v>
      </c>
    </row>
    <row r="30" spans="1:5">
      <c r="A30">
        <v>27</v>
      </c>
      <c r="B30">
        <v>26.5</v>
      </c>
      <c r="C30">
        <v>6.4580000000000002</v>
      </c>
      <c r="D30">
        <v>6.9619999999999997</v>
      </c>
      <c r="E30">
        <v>1.72</v>
      </c>
    </row>
    <row r="31" spans="1:5">
      <c r="A31">
        <v>28</v>
      </c>
      <c r="B31">
        <v>0.7</v>
      </c>
      <c r="C31">
        <v>5.3280000000000003</v>
      </c>
      <c r="D31">
        <v>3.9119999999999999</v>
      </c>
      <c r="E31">
        <v>1.25</v>
      </c>
    </row>
    <row r="32" spans="1:5">
      <c r="A32">
        <v>29</v>
      </c>
      <c r="B32">
        <v>13.4</v>
      </c>
      <c r="C32">
        <v>5.8019999999999996</v>
      </c>
      <c r="D32">
        <v>6.6849999999999996</v>
      </c>
      <c r="E32">
        <v>1.08</v>
      </c>
    </row>
    <row r="33" spans="1:5">
      <c r="A33">
        <v>30</v>
      </c>
      <c r="B33">
        <v>5.5</v>
      </c>
      <c r="C33">
        <v>6.1760000000000002</v>
      </c>
      <c r="D33">
        <v>4.7869999999999999</v>
      </c>
      <c r="E33">
        <v>1.25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C94D-9CA9-46E4-B4E5-D9AFFBEBA5AC}">
  <dimension ref="A1:F14"/>
  <sheetViews>
    <sheetView workbookViewId="0">
      <selection activeCell="E4" sqref="E4:F14"/>
    </sheetView>
  </sheetViews>
  <sheetFormatPr defaultRowHeight="15"/>
  <sheetData>
    <row r="1" spans="1:6">
      <c r="A1" s="20" t="s">
        <v>90</v>
      </c>
      <c r="B1" s="20"/>
    </row>
    <row r="2" spans="1:6">
      <c r="A2" s="20" t="s">
        <v>91</v>
      </c>
      <c r="B2" s="20"/>
    </row>
    <row r="4" spans="1:6">
      <c r="A4" s="20" t="s">
        <v>92</v>
      </c>
      <c r="B4" s="20" t="s">
        <v>93</v>
      </c>
      <c r="E4" s="39" t="s">
        <v>92</v>
      </c>
      <c r="F4" s="39" t="s">
        <v>93</v>
      </c>
    </row>
    <row r="5" spans="1:6">
      <c r="A5" s="20">
        <v>70</v>
      </c>
      <c r="B5" s="20">
        <v>80</v>
      </c>
      <c r="E5">
        <f>A5*10</f>
        <v>700</v>
      </c>
      <c r="F5">
        <f>B5*10</f>
        <v>800</v>
      </c>
    </row>
    <row r="6" spans="1:6">
      <c r="A6" s="20">
        <v>65</v>
      </c>
      <c r="B6" s="20">
        <v>100</v>
      </c>
      <c r="E6">
        <f t="shared" ref="E6:E14" si="0">A6*10</f>
        <v>650</v>
      </c>
      <c r="F6">
        <f t="shared" ref="F6:F14" si="1">B6*10</f>
        <v>1000</v>
      </c>
    </row>
    <row r="7" spans="1:6">
      <c r="A7" s="20">
        <v>90</v>
      </c>
      <c r="B7" s="20">
        <v>120</v>
      </c>
      <c r="E7">
        <f t="shared" si="0"/>
        <v>900</v>
      </c>
      <c r="F7">
        <f t="shared" si="1"/>
        <v>1200</v>
      </c>
    </row>
    <row r="8" spans="1:6">
      <c r="A8" s="20">
        <v>95</v>
      </c>
      <c r="B8" s="20">
        <v>140</v>
      </c>
      <c r="E8">
        <f t="shared" si="0"/>
        <v>950</v>
      </c>
      <c r="F8">
        <f t="shared" si="1"/>
        <v>1400</v>
      </c>
    </row>
    <row r="9" spans="1:6">
      <c r="A9" s="20">
        <v>110</v>
      </c>
      <c r="B9" s="20">
        <v>160</v>
      </c>
      <c r="E9">
        <f t="shared" si="0"/>
        <v>1100</v>
      </c>
      <c r="F9">
        <f t="shared" si="1"/>
        <v>1600</v>
      </c>
    </row>
    <row r="10" spans="1:6">
      <c r="A10" s="20">
        <v>115</v>
      </c>
      <c r="B10" s="20">
        <v>180</v>
      </c>
      <c r="E10">
        <f t="shared" si="0"/>
        <v>1150</v>
      </c>
      <c r="F10">
        <f t="shared" si="1"/>
        <v>1800</v>
      </c>
    </row>
    <row r="11" spans="1:6">
      <c r="A11" s="20">
        <v>120</v>
      </c>
      <c r="B11" s="20">
        <v>200</v>
      </c>
      <c r="E11">
        <f t="shared" si="0"/>
        <v>1200</v>
      </c>
      <c r="F11">
        <f t="shared" si="1"/>
        <v>2000</v>
      </c>
    </row>
    <row r="12" spans="1:6">
      <c r="A12" s="20">
        <v>140</v>
      </c>
      <c r="B12" s="20">
        <v>220</v>
      </c>
      <c r="E12">
        <f t="shared" si="0"/>
        <v>1400</v>
      </c>
      <c r="F12">
        <f t="shared" si="1"/>
        <v>2200</v>
      </c>
    </row>
    <row r="13" spans="1:6">
      <c r="A13" s="20">
        <v>155</v>
      </c>
      <c r="B13" s="20">
        <v>240</v>
      </c>
      <c r="E13">
        <f t="shared" si="0"/>
        <v>1550</v>
      </c>
      <c r="F13">
        <f t="shared" si="1"/>
        <v>2400</v>
      </c>
    </row>
    <row r="14" spans="1:6">
      <c r="A14" s="20">
        <v>150</v>
      </c>
      <c r="B14" s="20">
        <v>260</v>
      </c>
      <c r="E14">
        <f t="shared" si="0"/>
        <v>1500</v>
      </c>
      <c r="F14">
        <f t="shared" si="1"/>
        <v>2600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43F7-32DD-4307-97DB-4F4F379A6A09}">
  <dimension ref="A1:J43"/>
  <sheetViews>
    <sheetView topLeftCell="A25" workbookViewId="0">
      <selection activeCell="J43" sqref="J43"/>
    </sheetView>
  </sheetViews>
  <sheetFormatPr defaultRowHeight="15"/>
  <sheetData>
    <row r="1" spans="1:3">
      <c r="A1" t="s">
        <v>702</v>
      </c>
    </row>
    <row r="2" spans="1:3">
      <c r="A2" t="s">
        <v>703</v>
      </c>
    </row>
    <row r="3" spans="1:3">
      <c r="C3" t="s">
        <v>704</v>
      </c>
    </row>
    <row r="5" spans="1:3">
      <c r="A5" t="s">
        <v>705</v>
      </c>
    </row>
    <row r="6" spans="1:3">
      <c r="A6" t="s">
        <v>706</v>
      </c>
    </row>
    <row r="7" spans="1:3">
      <c r="A7" t="s">
        <v>707</v>
      </c>
    </row>
    <row r="8" spans="1:3">
      <c r="A8" t="s">
        <v>708</v>
      </c>
    </row>
    <row r="9" spans="1:3">
      <c r="A9" t="s">
        <v>709</v>
      </c>
    </row>
    <row r="10" spans="1:3">
      <c r="A10" t="s">
        <v>710</v>
      </c>
    </row>
    <row r="11" spans="1:3">
      <c r="A11" t="s">
        <v>711</v>
      </c>
    </row>
    <row r="12" spans="1:3">
      <c r="A12" t="s">
        <v>712</v>
      </c>
    </row>
    <row r="13" spans="1:3">
      <c r="A13" t="s">
        <v>713</v>
      </c>
    </row>
    <row r="14" spans="1:3">
      <c r="A14" t="s">
        <v>714</v>
      </c>
    </row>
    <row r="15" spans="1:3">
      <c r="A15" t="s">
        <v>715</v>
      </c>
    </row>
    <row r="16" spans="1:3">
      <c r="A16" t="s">
        <v>716</v>
      </c>
    </row>
    <row r="17" spans="1:10">
      <c r="A17" t="s">
        <v>717</v>
      </c>
    </row>
    <row r="18" spans="1:10">
      <c r="A18" t="s">
        <v>718</v>
      </c>
    </row>
    <row r="19" spans="1:10">
      <c r="A19" t="s">
        <v>719</v>
      </c>
    </row>
    <row r="20" spans="1:10">
      <c r="A20" t="s">
        <v>720</v>
      </c>
    </row>
    <row r="21" spans="1:10">
      <c r="A21" t="s">
        <v>721</v>
      </c>
    </row>
    <row r="22" spans="1:10">
      <c r="A22" t="s">
        <v>722</v>
      </c>
    </row>
    <row r="23" spans="1:10">
      <c r="A23" t="s">
        <v>723</v>
      </c>
    </row>
    <row r="24" spans="1:10">
      <c r="A24" t="s">
        <v>724</v>
      </c>
    </row>
    <row r="25" spans="1:10">
      <c r="A25" t="s">
        <v>725</v>
      </c>
    </row>
    <row r="26" spans="1:10">
      <c r="A26" t="s">
        <v>726</v>
      </c>
    </row>
    <row r="27" spans="1:10">
      <c r="A27" t="s">
        <v>727</v>
      </c>
    </row>
    <row r="28" spans="1:10">
      <c r="A28" t="s">
        <v>728</v>
      </c>
    </row>
    <row r="30" spans="1:10">
      <c r="A30" t="s">
        <v>729</v>
      </c>
      <c r="B30" t="s">
        <v>730</v>
      </c>
      <c r="C30" t="s">
        <v>731</v>
      </c>
      <c r="D30" t="s">
        <v>524</v>
      </c>
      <c r="E30" t="s">
        <v>641</v>
      </c>
      <c r="F30" t="s">
        <v>732</v>
      </c>
      <c r="G30" t="s">
        <v>733</v>
      </c>
      <c r="H30" t="s">
        <v>642</v>
      </c>
      <c r="I30" t="s">
        <v>734</v>
      </c>
      <c r="J30" t="s">
        <v>643</v>
      </c>
    </row>
    <row r="31" spans="1:10">
      <c r="A31">
        <v>1</v>
      </c>
      <c r="B31">
        <v>2994</v>
      </c>
      <c r="C31">
        <v>3295</v>
      </c>
      <c r="D31">
        <v>3565</v>
      </c>
      <c r="E31">
        <v>3907</v>
      </c>
      <c r="F31">
        <v>4189</v>
      </c>
      <c r="G31">
        <v>4486</v>
      </c>
      <c r="H31">
        <v>4676</v>
      </c>
      <c r="I31">
        <v>4968</v>
      </c>
      <c r="J31">
        <v>5342</v>
      </c>
    </row>
    <row r="32" spans="1:10">
      <c r="A32">
        <v>2</v>
      </c>
      <c r="B32">
        <v>1721</v>
      </c>
      <c r="C32">
        <v>2057</v>
      </c>
      <c r="D32">
        <v>3336</v>
      </c>
      <c r="E32">
        <v>3320</v>
      </c>
      <c r="F32">
        <v>2980</v>
      </c>
      <c r="G32">
        <v>2848</v>
      </c>
      <c r="H32">
        <v>3072</v>
      </c>
      <c r="I32">
        <v>2969</v>
      </c>
      <c r="J32">
        <v>3822</v>
      </c>
    </row>
    <row r="33" spans="1:10">
      <c r="A33">
        <v>3</v>
      </c>
      <c r="B33">
        <v>3600</v>
      </c>
      <c r="C33">
        <v>3657</v>
      </c>
      <c r="D33">
        <v>3674</v>
      </c>
      <c r="E33">
        <v>3437</v>
      </c>
      <c r="F33">
        <v>3340</v>
      </c>
      <c r="G33">
        <v>3334</v>
      </c>
      <c r="H33">
        <v>3225</v>
      </c>
      <c r="I33">
        <v>3163</v>
      </c>
      <c r="J33">
        <v>3168</v>
      </c>
    </row>
    <row r="34" spans="1:10">
      <c r="A34">
        <v>4</v>
      </c>
      <c r="B34">
        <v>3494</v>
      </c>
      <c r="C34">
        <v>3787</v>
      </c>
      <c r="D34">
        <v>3533</v>
      </c>
      <c r="E34">
        <v>3215</v>
      </c>
      <c r="F34">
        <v>3030</v>
      </c>
      <c r="G34">
        <v>2834</v>
      </c>
      <c r="H34">
        <v>2750</v>
      </c>
      <c r="I34">
        <v>2967</v>
      </c>
      <c r="J34">
        <v>3453</v>
      </c>
    </row>
    <row r="35" spans="1:10">
      <c r="A35">
        <v>5</v>
      </c>
      <c r="B35">
        <v>3498</v>
      </c>
      <c r="C35">
        <v>3847</v>
      </c>
      <c r="D35">
        <v>3913</v>
      </c>
      <c r="E35">
        <v>4135</v>
      </c>
      <c r="F35">
        <v>4445</v>
      </c>
      <c r="G35">
        <v>4885</v>
      </c>
      <c r="H35">
        <v>5132</v>
      </c>
      <c r="I35">
        <v>5342</v>
      </c>
      <c r="J35">
        <v>5326</v>
      </c>
    </row>
    <row r="36" spans="1:10">
      <c r="A36">
        <v>6</v>
      </c>
      <c r="B36">
        <v>3611</v>
      </c>
      <c r="C36">
        <v>4206</v>
      </c>
      <c r="D36">
        <v>4695</v>
      </c>
      <c r="E36">
        <v>5083</v>
      </c>
      <c r="F36">
        <v>5301</v>
      </c>
      <c r="G36">
        <v>5269</v>
      </c>
      <c r="H36">
        <v>5182</v>
      </c>
      <c r="I36">
        <v>5395</v>
      </c>
      <c r="J36">
        <v>5552</v>
      </c>
    </row>
    <row r="37" spans="1:10">
      <c r="A37">
        <v>7</v>
      </c>
      <c r="B37">
        <v>3875</v>
      </c>
      <c r="C37">
        <v>4660</v>
      </c>
      <c r="D37">
        <v>4930</v>
      </c>
      <c r="E37">
        <v>5005</v>
      </c>
      <c r="F37">
        <v>5114</v>
      </c>
      <c r="G37">
        <v>5248</v>
      </c>
      <c r="H37">
        <v>5630</v>
      </c>
      <c r="I37">
        <v>5870</v>
      </c>
      <c r="J37">
        <v>5876</v>
      </c>
    </row>
    <row r="38" spans="1:10">
      <c r="A38">
        <v>8</v>
      </c>
      <c r="B38">
        <v>4616</v>
      </c>
      <c r="C38">
        <v>5181</v>
      </c>
      <c r="D38">
        <v>5317</v>
      </c>
      <c r="E38">
        <v>5337</v>
      </c>
      <c r="F38">
        <v>5421</v>
      </c>
      <c r="G38">
        <v>5710</v>
      </c>
      <c r="H38">
        <v>6316</v>
      </c>
      <c r="I38">
        <v>6455</v>
      </c>
      <c r="J38">
        <v>6347</v>
      </c>
    </row>
    <row r="39" spans="1:10">
      <c r="A39">
        <v>9</v>
      </c>
      <c r="B39">
        <v>3538</v>
      </c>
      <c r="C39">
        <v>3984</v>
      </c>
      <c r="D39">
        <v>4014</v>
      </c>
      <c r="E39">
        <v>4287</v>
      </c>
      <c r="F39">
        <v>4221</v>
      </c>
      <c r="G39">
        <v>4539</v>
      </c>
      <c r="H39">
        <v>4721</v>
      </c>
      <c r="I39">
        <v>4905</v>
      </c>
      <c r="J39">
        <v>5481</v>
      </c>
    </row>
    <row r="40" spans="1:10">
      <c r="A40">
        <v>10</v>
      </c>
      <c r="B40">
        <v>3016</v>
      </c>
      <c r="C40">
        <v>3196</v>
      </c>
      <c r="D40">
        <v>3149</v>
      </c>
      <c r="E40">
        <v>3317</v>
      </c>
      <c r="F40">
        <v>3414</v>
      </c>
      <c r="G40">
        <v>3254</v>
      </c>
      <c r="H40">
        <v>3177</v>
      </c>
      <c r="I40">
        <v>3346</v>
      </c>
      <c r="J40">
        <v>4067</v>
      </c>
    </row>
    <row r="41" spans="1:10">
      <c r="A41">
        <v>11</v>
      </c>
      <c r="B41">
        <v>3396</v>
      </c>
      <c r="C41">
        <v>3787</v>
      </c>
      <c r="D41">
        <v>4013</v>
      </c>
      <c r="E41">
        <v>4014</v>
      </c>
      <c r="F41">
        <v>4146</v>
      </c>
      <c r="G41">
        <v>4241</v>
      </c>
      <c r="H41">
        <v>4387</v>
      </c>
      <c r="I41">
        <v>4538</v>
      </c>
      <c r="J41">
        <v>4843</v>
      </c>
    </row>
    <row r="42" spans="1:10">
      <c r="A42">
        <v>12</v>
      </c>
      <c r="B42">
        <v>743.7</v>
      </c>
      <c r="C42">
        <v>851.4</v>
      </c>
      <c r="D42">
        <v>727.8</v>
      </c>
      <c r="E42">
        <v>805.06</v>
      </c>
      <c r="F42">
        <v>929.9</v>
      </c>
      <c r="G42">
        <v>1080.5999999999999</v>
      </c>
      <c r="H42">
        <v>1243.2</v>
      </c>
      <c r="I42">
        <v>1307.7</v>
      </c>
      <c r="J42">
        <v>1112.5</v>
      </c>
    </row>
    <row r="43" spans="1:10">
      <c r="A43">
        <v>13</v>
      </c>
      <c r="B43">
        <v>9355</v>
      </c>
      <c r="C43">
        <v>8584</v>
      </c>
      <c r="D43">
        <v>7962</v>
      </c>
      <c r="E43">
        <v>8275</v>
      </c>
      <c r="F43">
        <v>8389</v>
      </c>
      <c r="G43">
        <v>9418</v>
      </c>
      <c r="H43">
        <v>9795</v>
      </c>
      <c r="I43" t="s">
        <v>735</v>
      </c>
      <c r="J43">
        <v>1750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C58B-0BF1-44C6-B5FB-351813641CE1}">
  <dimension ref="A1:D39"/>
  <sheetViews>
    <sheetView workbookViewId="0">
      <selection activeCell="B1" sqref="B1"/>
    </sheetView>
  </sheetViews>
  <sheetFormatPr defaultRowHeight="15"/>
  <sheetData>
    <row r="1" spans="1:4">
      <c r="A1" t="s">
        <v>736</v>
      </c>
    </row>
    <row r="2" spans="1:4">
      <c r="A2" t="s">
        <v>737</v>
      </c>
    </row>
    <row r="4" spans="1:4">
      <c r="A4" t="s">
        <v>738</v>
      </c>
    </row>
    <row r="5" spans="1:4">
      <c r="A5" t="s">
        <v>739</v>
      </c>
    </row>
    <row r="6" spans="1:4">
      <c r="A6" t="s">
        <v>740</v>
      </c>
    </row>
    <row r="7" spans="1:4">
      <c r="A7" t="s">
        <v>741</v>
      </c>
    </row>
    <row r="9" spans="1:4">
      <c r="A9" t="s">
        <v>92</v>
      </c>
      <c r="B9" t="s">
        <v>93</v>
      </c>
      <c r="C9" t="s">
        <v>742</v>
      </c>
      <c r="D9" t="s">
        <v>743</v>
      </c>
    </row>
    <row r="10" spans="1:4">
      <c r="A10">
        <v>55</v>
      </c>
      <c r="B10">
        <v>80</v>
      </c>
      <c r="C10">
        <v>55</v>
      </c>
      <c r="D10">
        <v>80</v>
      </c>
    </row>
    <row r="11" spans="1:4">
      <c r="A11">
        <v>65</v>
      </c>
      <c r="B11">
        <v>100</v>
      </c>
      <c r="C11">
        <v>70</v>
      </c>
      <c r="D11">
        <v>85</v>
      </c>
    </row>
    <row r="12" spans="1:4">
      <c r="A12">
        <v>70</v>
      </c>
      <c r="B12">
        <v>85</v>
      </c>
      <c r="C12">
        <v>75</v>
      </c>
      <c r="D12">
        <v>90</v>
      </c>
    </row>
    <row r="13" spans="1:4">
      <c r="A13">
        <v>80</v>
      </c>
      <c r="B13">
        <v>110</v>
      </c>
      <c r="C13">
        <v>65</v>
      </c>
      <c r="D13">
        <v>100</v>
      </c>
    </row>
    <row r="14" spans="1:4">
      <c r="A14">
        <v>79</v>
      </c>
      <c r="B14">
        <v>120</v>
      </c>
      <c r="C14">
        <v>74</v>
      </c>
      <c r="D14">
        <v>105</v>
      </c>
    </row>
    <row r="15" spans="1:4">
      <c r="A15">
        <v>84</v>
      </c>
      <c r="B15">
        <v>115</v>
      </c>
      <c r="C15">
        <v>80</v>
      </c>
      <c r="D15">
        <v>110</v>
      </c>
    </row>
    <row r="16" spans="1:4">
      <c r="A16">
        <v>98</v>
      </c>
      <c r="B16">
        <v>130</v>
      </c>
      <c r="C16">
        <v>84</v>
      </c>
      <c r="D16">
        <v>115</v>
      </c>
    </row>
    <row r="17" spans="1:4">
      <c r="A17">
        <v>95</v>
      </c>
      <c r="B17">
        <v>140</v>
      </c>
      <c r="C17">
        <v>79</v>
      </c>
      <c r="D17">
        <v>120</v>
      </c>
    </row>
    <row r="18" spans="1:4">
      <c r="A18">
        <v>90</v>
      </c>
      <c r="B18">
        <v>125</v>
      </c>
      <c r="C18">
        <v>90</v>
      </c>
      <c r="D18">
        <v>125</v>
      </c>
    </row>
    <row r="19" spans="1:4">
      <c r="A19">
        <v>75</v>
      </c>
      <c r="B19">
        <v>90</v>
      </c>
      <c r="C19">
        <v>98</v>
      </c>
      <c r="D19">
        <v>130</v>
      </c>
    </row>
    <row r="20" spans="1:4">
      <c r="A20">
        <v>74</v>
      </c>
      <c r="B20">
        <v>105</v>
      </c>
      <c r="C20">
        <v>95</v>
      </c>
      <c r="D20">
        <v>140</v>
      </c>
    </row>
    <row r="21" spans="1:4">
      <c r="A21">
        <v>110</v>
      </c>
      <c r="B21">
        <v>160</v>
      </c>
      <c r="C21">
        <v>108</v>
      </c>
      <c r="D21">
        <v>145</v>
      </c>
    </row>
    <row r="22" spans="1:4">
      <c r="A22">
        <v>113</v>
      </c>
      <c r="B22">
        <v>150</v>
      </c>
      <c r="C22">
        <v>113</v>
      </c>
      <c r="D22">
        <v>150</v>
      </c>
    </row>
    <row r="23" spans="1:4">
      <c r="A23">
        <v>125</v>
      </c>
      <c r="B23">
        <v>165</v>
      </c>
      <c r="C23">
        <v>110</v>
      </c>
      <c r="D23">
        <v>160</v>
      </c>
    </row>
    <row r="24" spans="1:4">
      <c r="A24">
        <v>108</v>
      </c>
      <c r="B24">
        <v>145</v>
      </c>
      <c r="C24">
        <v>125</v>
      </c>
      <c r="D24">
        <v>165</v>
      </c>
    </row>
    <row r="25" spans="1:4">
      <c r="A25">
        <v>115</v>
      </c>
      <c r="B25">
        <v>180</v>
      </c>
      <c r="C25">
        <v>115</v>
      </c>
      <c r="D25">
        <v>180</v>
      </c>
    </row>
    <row r="26" spans="1:4">
      <c r="A26">
        <v>140</v>
      </c>
      <c r="B26">
        <v>225</v>
      </c>
      <c r="C26">
        <v>130</v>
      </c>
      <c r="D26">
        <v>185</v>
      </c>
    </row>
    <row r="27" spans="1:4">
      <c r="A27">
        <v>120</v>
      </c>
      <c r="B27">
        <v>200</v>
      </c>
      <c r="C27">
        <v>135</v>
      </c>
      <c r="D27">
        <v>190</v>
      </c>
    </row>
    <row r="28" spans="1:4">
      <c r="A28">
        <v>145</v>
      </c>
      <c r="B28">
        <v>240</v>
      </c>
      <c r="C28">
        <v>120</v>
      </c>
      <c r="D28">
        <v>200</v>
      </c>
    </row>
    <row r="29" spans="1:4">
      <c r="A29">
        <v>130</v>
      </c>
      <c r="B29">
        <v>185</v>
      </c>
      <c r="C29">
        <v>140</v>
      </c>
      <c r="D29">
        <v>205</v>
      </c>
    </row>
    <row r="30" spans="1:4">
      <c r="A30">
        <v>152</v>
      </c>
      <c r="B30">
        <v>220</v>
      </c>
      <c r="C30">
        <v>144</v>
      </c>
      <c r="D30">
        <v>210</v>
      </c>
    </row>
    <row r="31" spans="1:4">
      <c r="A31">
        <v>144</v>
      </c>
      <c r="B31">
        <v>210</v>
      </c>
      <c r="C31">
        <v>152</v>
      </c>
      <c r="D31">
        <v>220</v>
      </c>
    </row>
    <row r="32" spans="1:4">
      <c r="A32">
        <v>175</v>
      </c>
      <c r="B32">
        <v>245</v>
      </c>
      <c r="C32">
        <v>140</v>
      </c>
      <c r="D32">
        <v>225</v>
      </c>
    </row>
    <row r="33" spans="1:4">
      <c r="A33">
        <v>180</v>
      </c>
      <c r="B33">
        <v>260</v>
      </c>
      <c r="C33">
        <v>137</v>
      </c>
      <c r="D33">
        <v>230</v>
      </c>
    </row>
    <row r="34" spans="1:4">
      <c r="A34">
        <v>135</v>
      </c>
      <c r="B34">
        <v>190</v>
      </c>
      <c r="C34">
        <v>145</v>
      </c>
      <c r="D34">
        <v>240</v>
      </c>
    </row>
    <row r="35" spans="1:4">
      <c r="A35">
        <v>140</v>
      </c>
      <c r="B35">
        <v>205</v>
      </c>
      <c r="C35">
        <v>175</v>
      </c>
      <c r="D35">
        <v>245</v>
      </c>
    </row>
    <row r="36" spans="1:4">
      <c r="A36">
        <v>178</v>
      </c>
      <c r="B36">
        <v>265</v>
      </c>
      <c r="C36">
        <v>189</v>
      </c>
      <c r="D36">
        <v>250</v>
      </c>
    </row>
    <row r="37" spans="1:4">
      <c r="A37">
        <v>191</v>
      </c>
      <c r="B37">
        <v>270</v>
      </c>
      <c r="C37">
        <v>180</v>
      </c>
      <c r="D37">
        <v>260</v>
      </c>
    </row>
    <row r="38" spans="1:4">
      <c r="A38">
        <v>137</v>
      </c>
      <c r="B38">
        <v>230</v>
      </c>
      <c r="C38">
        <v>178</v>
      </c>
      <c r="D38">
        <v>265</v>
      </c>
    </row>
    <row r="39" spans="1:4">
      <c r="A39">
        <v>189</v>
      </c>
      <c r="B39">
        <v>250</v>
      </c>
      <c r="C39">
        <v>191</v>
      </c>
      <c r="D39">
        <v>270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C52B3-E580-4B03-9087-EEF71E9E6BAB}">
  <dimension ref="A1:C24"/>
  <sheetViews>
    <sheetView topLeftCell="A13" workbookViewId="0">
      <selection activeCell="C24" sqref="C24"/>
    </sheetView>
  </sheetViews>
  <sheetFormatPr defaultRowHeight="15"/>
  <sheetData>
    <row r="1" spans="1:3">
      <c r="A1" s="90" t="s">
        <v>744</v>
      </c>
      <c r="B1" s="90"/>
      <c r="C1" s="90"/>
    </row>
    <row r="3" spans="1:3">
      <c r="A3" s="90" t="s">
        <v>745</v>
      </c>
      <c r="B3" s="90"/>
      <c r="C3" s="90"/>
    </row>
    <row r="4" spans="1:3">
      <c r="A4" s="90" t="s">
        <v>744</v>
      </c>
      <c r="B4" s="90"/>
      <c r="C4" s="90"/>
    </row>
    <row r="5" spans="1:3">
      <c r="A5" s="90"/>
      <c r="B5" s="90"/>
      <c r="C5" s="90"/>
    </row>
    <row r="6" spans="1:3">
      <c r="A6" s="90" t="s">
        <v>746</v>
      </c>
      <c r="B6" s="90" t="s">
        <v>747</v>
      </c>
      <c r="C6" s="90" t="s">
        <v>748</v>
      </c>
    </row>
    <row r="7" spans="1:3">
      <c r="A7" s="90">
        <v>6375.3</v>
      </c>
      <c r="B7" s="90">
        <v>62.5</v>
      </c>
      <c r="C7" s="90">
        <v>185.1</v>
      </c>
    </row>
    <row r="8" spans="1:3">
      <c r="A8" s="90">
        <v>11626.4</v>
      </c>
      <c r="B8" s="90">
        <v>92.9</v>
      </c>
      <c r="C8" s="90">
        <v>1569.5</v>
      </c>
    </row>
    <row r="9" spans="1:3">
      <c r="A9" s="90">
        <v>14655.1</v>
      </c>
      <c r="B9" s="90">
        <v>178.3</v>
      </c>
      <c r="C9" s="90">
        <v>276.8</v>
      </c>
    </row>
    <row r="10" spans="1:3">
      <c r="A10" s="90">
        <v>21869.200000000001</v>
      </c>
      <c r="B10" s="90">
        <v>258.39999999999998</v>
      </c>
      <c r="C10" s="90">
        <v>2828.1</v>
      </c>
    </row>
    <row r="11" spans="1:3">
      <c r="A11" s="90">
        <v>26408.3</v>
      </c>
      <c r="B11" s="90">
        <v>494.7</v>
      </c>
      <c r="C11" s="90">
        <v>225.9</v>
      </c>
    </row>
    <row r="12" spans="1:3">
      <c r="A12" s="90">
        <v>32405.599999999999</v>
      </c>
      <c r="B12" s="90">
        <v>1083</v>
      </c>
      <c r="C12" s="90">
        <v>3751.9</v>
      </c>
    </row>
    <row r="13" spans="1:3">
      <c r="A13" s="90">
        <v>35107.699999999997</v>
      </c>
      <c r="B13" s="90">
        <v>1620.6</v>
      </c>
      <c r="C13" s="90">
        <v>2884.1</v>
      </c>
    </row>
    <row r="14" spans="1:3">
      <c r="A14" s="90">
        <v>40295.4</v>
      </c>
      <c r="B14" s="90">
        <v>421.7</v>
      </c>
      <c r="C14" s="90">
        <v>4645.7</v>
      </c>
    </row>
    <row r="15" spans="1:3">
      <c r="A15" s="90">
        <v>70761.600000000006</v>
      </c>
      <c r="B15" s="90">
        <v>509.2</v>
      </c>
      <c r="C15" s="90">
        <v>5036.3999999999996</v>
      </c>
    </row>
    <row r="16" spans="1:3">
      <c r="A16" s="90">
        <v>80552.800000000003</v>
      </c>
      <c r="B16" s="90">
        <v>6620.1</v>
      </c>
      <c r="C16" s="90">
        <v>13869.9</v>
      </c>
    </row>
    <row r="17" spans="1:3">
      <c r="A17" s="90">
        <v>95294</v>
      </c>
      <c r="B17" s="90">
        <v>3918.6</v>
      </c>
      <c r="C17" s="90">
        <v>4487.8</v>
      </c>
    </row>
    <row r="18" spans="1:3">
      <c r="A18" s="90">
        <v>101314.1</v>
      </c>
      <c r="B18" s="90">
        <v>1595.3</v>
      </c>
      <c r="C18" s="90">
        <v>10278.9</v>
      </c>
    </row>
    <row r="19" spans="1:3">
      <c r="A19" s="90">
        <v>116141.3</v>
      </c>
      <c r="B19" s="90">
        <v>6107.5</v>
      </c>
      <c r="C19" s="90">
        <v>8787.2999999999993</v>
      </c>
    </row>
    <row r="20" spans="1:3">
      <c r="A20" s="90">
        <v>122315.7</v>
      </c>
      <c r="B20" s="90">
        <v>4454.1000000000004</v>
      </c>
      <c r="C20" s="90">
        <v>16438.8</v>
      </c>
    </row>
    <row r="21" spans="1:3">
      <c r="A21" s="90">
        <v>141649.9</v>
      </c>
      <c r="B21" s="90">
        <v>3163.8</v>
      </c>
      <c r="C21" s="90">
        <v>9761.4</v>
      </c>
    </row>
    <row r="22" spans="1:3">
      <c r="A22" s="90">
        <v>175025.8</v>
      </c>
      <c r="B22" s="90">
        <v>13210.7</v>
      </c>
      <c r="C22" s="90">
        <v>19774.5</v>
      </c>
    </row>
    <row r="23" spans="1:3">
      <c r="A23" s="90">
        <v>230614.5</v>
      </c>
      <c r="B23" s="90">
        <v>1703.8</v>
      </c>
      <c r="C23" s="90">
        <v>22626.6</v>
      </c>
    </row>
    <row r="24" spans="1:3">
      <c r="A24" s="90">
        <v>293543</v>
      </c>
      <c r="B24" s="90">
        <v>9528.2000000000007</v>
      </c>
      <c r="C24" s="90">
        <v>18415.400000000001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C1480-43D7-45F1-AF03-E765E76B723D}">
  <dimension ref="A1:I97"/>
  <sheetViews>
    <sheetView topLeftCell="A85" workbookViewId="0">
      <selection activeCell="A3" sqref="A3"/>
    </sheetView>
  </sheetViews>
  <sheetFormatPr defaultRowHeight="15"/>
  <sheetData>
    <row r="1" spans="1:9">
      <c r="A1" s="91" t="s">
        <v>749</v>
      </c>
      <c r="B1" s="91"/>
      <c r="C1" s="91"/>
      <c r="D1" s="91"/>
      <c r="E1" s="91"/>
      <c r="F1" s="91"/>
      <c r="G1" s="91"/>
      <c r="H1" s="91"/>
      <c r="I1" s="91"/>
    </row>
    <row r="3" spans="1:9">
      <c r="A3" s="91" t="s">
        <v>114</v>
      </c>
      <c r="B3" s="91" t="s">
        <v>750</v>
      </c>
      <c r="C3" s="91" t="s">
        <v>540</v>
      </c>
      <c r="D3" s="91" t="s">
        <v>751</v>
      </c>
      <c r="E3" s="91" t="s">
        <v>752</v>
      </c>
      <c r="F3" s="91" t="s">
        <v>753</v>
      </c>
      <c r="G3" s="91" t="s">
        <v>213</v>
      </c>
      <c r="H3" s="91" t="s">
        <v>754</v>
      </c>
      <c r="I3" s="91" t="s">
        <v>755</v>
      </c>
    </row>
    <row r="4" spans="1:9">
      <c r="A4" s="91">
        <v>1</v>
      </c>
      <c r="B4" s="91">
        <v>95.7</v>
      </c>
      <c r="C4" s="91">
        <v>24487</v>
      </c>
      <c r="D4" s="91">
        <v>2130</v>
      </c>
      <c r="E4" s="91">
        <v>85</v>
      </c>
      <c r="F4" s="91">
        <v>62678</v>
      </c>
      <c r="G4" s="91">
        <v>31221</v>
      </c>
      <c r="H4" s="91">
        <v>1132</v>
      </c>
      <c r="I4" s="91">
        <v>1.8</v>
      </c>
    </row>
    <row r="5" spans="1:9">
      <c r="A5" s="91">
        <v>2</v>
      </c>
      <c r="B5" s="91">
        <v>94.7</v>
      </c>
      <c r="C5" s="91">
        <v>29777</v>
      </c>
      <c r="D5" s="91">
        <v>2570</v>
      </c>
      <c r="E5" s="91">
        <v>73</v>
      </c>
      <c r="F5" s="91">
        <v>130910</v>
      </c>
      <c r="G5" s="91">
        <v>34860</v>
      </c>
      <c r="H5" s="91">
        <v>2472</v>
      </c>
      <c r="I5" s="91">
        <v>2.6</v>
      </c>
    </row>
    <row r="6" spans="1:9">
      <c r="A6" s="91">
        <v>3</v>
      </c>
      <c r="B6" s="91">
        <v>95.5</v>
      </c>
      <c r="C6" s="91">
        <v>23161</v>
      </c>
      <c r="D6" s="91">
        <v>2262</v>
      </c>
      <c r="E6" s="91">
        <v>68</v>
      </c>
      <c r="F6" s="91">
        <v>51645</v>
      </c>
      <c r="G6" s="91">
        <v>30155</v>
      </c>
      <c r="H6" s="91">
        <v>1026</v>
      </c>
      <c r="I6" s="91">
        <v>5.4</v>
      </c>
    </row>
    <row r="7" spans="1:9">
      <c r="A7" s="91">
        <v>4</v>
      </c>
      <c r="B7" s="91">
        <v>96.5</v>
      </c>
      <c r="C7" s="91">
        <v>21792</v>
      </c>
      <c r="D7" s="91">
        <v>2506</v>
      </c>
      <c r="E7" s="91">
        <v>65</v>
      </c>
      <c r="F7" s="91">
        <v>88453</v>
      </c>
      <c r="G7" s="91">
        <v>32273</v>
      </c>
      <c r="H7" s="91">
        <v>1104</v>
      </c>
      <c r="I7" s="91">
        <v>6.2</v>
      </c>
    </row>
    <row r="8" spans="1:9">
      <c r="A8" s="91">
        <v>5</v>
      </c>
      <c r="B8" s="91">
        <v>94.1</v>
      </c>
      <c r="C8" s="91">
        <v>24446</v>
      </c>
      <c r="D8" s="91">
        <v>2250</v>
      </c>
      <c r="E8" s="91">
        <v>62</v>
      </c>
      <c r="F8" s="91">
        <v>65550</v>
      </c>
      <c r="G8" s="91">
        <v>32876</v>
      </c>
      <c r="H8" s="91">
        <v>3204</v>
      </c>
      <c r="I8" s="91">
        <v>8.9</v>
      </c>
    </row>
    <row r="9" spans="1:9">
      <c r="A9" s="91">
        <v>6</v>
      </c>
      <c r="B9" s="91">
        <v>92.3</v>
      </c>
      <c r="C9" s="91">
        <v>18394</v>
      </c>
      <c r="D9" s="91">
        <v>2657</v>
      </c>
      <c r="E9" s="91">
        <v>40</v>
      </c>
      <c r="F9" s="91">
        <v>44138</v>
      </c>
      <c r="G9" s="91">
        <v>33142</v>
      </c>
      <c r="H9" s="91">
        <v>5963</v>
      </c>
      <c r="I9" s="91">
        <v>33.799999999999997</v>
      </c>
    </row>
    <row r="10" spans="1:9">
      <c r="A10" s="91">
        <v>7</v>
      </c>
      <c r="B10" s="91">
        <v>96.1</v>
      </c>
      <c r="C10" s="91">
        <v>26428</v>
      </c>
      <c r="D10" s="91">
        <v>2431</v>
      </c>
      <c r="E10" s="91">
        <v>72</v>
      </c>
      <c r="F10" s="91">
        <v>88789</v>
      </c>
      <c r="G10" s="91">
        <v>30919</v>
      </c>
      <c r="H10" s="91">
        <v>1194</v>
      </c>
      <c r="I10" s="91">
        <v>1.7</v>
      </c>
    </row>
    <row r="11" spans="1:9">
      <c r="A11" s="91">
        <v>8</v>
      </c>
      <c r="B11" s="91">
        <v>95.6</v>
      </c>
      <c r="C11" s="91">
        <v>28228</v>
      </c>
      <c r="D11" s="91">
        <v>2693</v>
      </c>
      <c r="E11" s="91">
        <v>68</v>
      </c>
      <c r="F11" s="91">
        <v>82707</v>
      </c>
      <c r="G11" s="91">
        <v>32850</v>
      </c>
      <c r="H11" s="91">
        <v>921</v>
      </c>
      <c r="I11" s="91">
        <v>3.9</v>
      </c>
    </row>
    <row r="12" spans="1:9">
      <c r="A12" s="91">
        <v>9</v>
      </c>
      <c r="B12" s="91">
        <v>94.2</v>
      </c>
      <c r="C12" s="91">
        <v>23812</v>
      </c>
      <c r="D12" s="91">
        <v>2438</v>
      </c>
      <c r="E12" s="91">
        <v>63</v>
      </c>
      <c r="F12" s="91">
        <v>56333</v>
      </c>
      <c r="G12" s="91">
        <v>34750</v>
      </c>
      <c r="H12" s="91">
        <v>3046</v>
      </c>
      <c r="I12" s="91">
        <v>11.2</v>
      </c>
    </row>
    <row r="13" spans="1:9">
      <c r="A13" s="91">
        <v>10</v>
      </c>
      <c r="B13" s="91">
        <v>95.7</v>
      </c>
      <c r="C13" s="91">
        <v>22448</v>
      </c>
      <c r="D13" s="91">
        <v>2351</v>
      </c>
      <c r="E13" s="91">
        <v>59</v>
      </c>
      <c r="F13" s="91">
        <v>56411</v>
      </c>
      <c r="G13" s="91">
        <v>34224</v>
      </c>
      <c r="H13" s="91">
        <v>990</v>
      </c>
      <c r="I13" s="91">
        <v>7</v>
      </c>
    </row>
    <row r="14" spans="1:9">
      <c r="A14" s="91">
        <v>11</v>
      </c>
      <c r="B14" s="91">
        <v>94.8</v>
      </c>
      <c r="C14" s="91">
        <v>24189</v>
      </c>
      <c r="D14" s="91">
        <v>2496</v>
      </c>
      <c r="E14" s="91">
        <v>56</v>
      </c>
      <c r="F14" s="91">
        <v>53923</v>
      </c>
      <c r="G14" s="91">
        <v>34430</v>
      </c>
      <c r="H14" s="91">
        <v>1216</v>
      </c>
      <c r="I14" s="91">
        <v>4.5999999999999996</v>
      </c>
    </row>
    <row r="15" spans="1:9">
      <c r="A15" s="91">
        <v>12</v>
      </c>
      <c r="B15" s="91">
        <v>96.1</v>
      </c>
      <c r="C15" s="91">
        <v>25223</v>
      </c>
      <c r="D15" s="91">
        <v>2564</v>
      </c>
      <c r="E15" s="91">
        <v>77</v>
      </c>
      <c r="F15" s="91">
        <v>76878</v>
      </c>
      <c r="G15" s="91">
        <v>32166</v>
      </c>
      <c r="H15" s="91">
        <v>1593</v>
      </c>
      <c r="I15" s="91">
        <v>4</v>
      </c>
    </row>
    <row r="16" spans="1:9">
      <c r="A16" s="91">
        <v>13</v>
      </c>
      <c r="B16" s="91">
        <v>95.8</v>
      </c>
      <c r="C16" s="91">
        <v>25586</v>
      </c>
      <c r="D16" s="91">
        <v>2861</v>
      </c>
      <c r="E16" s="91">
        <v>74</v>
      </c>
      <c r="F16" s="91">
        <v>117545</v>
      </c>
      <c r="G16" s="91">
        <v>39352</v>
      </c>
      <c r="H16" s="91">
        <v>2038</v>
      </c>
      <c r="I16" s="91">
        <v>3.3</v>
      </c>
    </row>
    <row r="17" spans="1:9">
      <c r="A17" s="91">
        <v>14</v>
      </c>
      <c r="B17" s="91">
        <v>95.4</v>
      </c>
      <c r="C17" s="91">
        <v>27135</v>
      </c>
      <c r="D17" s="91">
        <v>2968</v>
      </c>
      <c r="E17" s="91">
        <v>74</v>
      </c>
      <c r="F17" s="91">
        <v>105588</v>
      </c>
      <c r="G17" s="91">
        <v>33433</v>
      </c>
      <c r="H17" s="91">
        <v>1494</v>
      </c>
      <c r="I17" s="91">
        <v>4.5999999999999996</v>
      </c>
    </row>
    <row r="18" spans="1:9">
      <c r="A18" s="91">
        <v>15</v>
      </c>
      <c r="B18" s="91">
        <v>95.5</v>
      </c>
      <c r="C18" s="91">
        <v>23849</v>
      </c>
      <c r="D18" s="91">
        <v>2464</v>
      </c>
      <c r="E18" s="91">
        <v>66</v>
      </c>
      <c r="F18" s="91">
        <v>74601</v>
      </c>
      <c r="G18" s="91">
        <v>37084</v>
      </c>
      <c r="H18" s="91">
        <v>1560</v>
      </c>
      <c r="I18" s="91">
        <v>2.8</v>
      </c>
    </row>
    <row r="19" spans="1:9">
      <c r="A19" s="91">
        <v>16</v>
      </c>
      <c r="B19" s="91">
        <v>93</v>
      </c>
      <c r="C19" s="91">
        <v>19529</v>
      </c>
      <c r="D19" s="91">
        <v>2766</v>
      </c>
      <c r="E19" s="91">
        <v>37</v>
      </c>
      <c r="F19" s="91">
        <v>72425</v>
      </c>
      <c r="G19" s="91">
        <v>36042</v>
      </c>
      <c r="H19" s="91">
        <v>4426</v>
      </c>
      <c r="I19" s="91">
        <v>25.2</v>
      </c>
    </row>
    <row r="20" spans="1:9">
      <c r="A20" s="91">
        <v>17</v>
      </c>
      <c r="B20" s="91">
        <v>95</v>
      </c>
      <c r="C20" s="91">
        <v>19854</v>
      </c>
      <c r="D20" s="91">
        <v>11226</v>
      </c>
      <c r="E20" s="91">
        <v>100</v>
      </c>
      <c r="F20" s="91">
        <v>802081</v>
      </c>
      <c r="G20" s="91">
        <v>27144</v>
      </c>
      <c r="H20" s="91">
        <v>20</v>
      </c>
      <c r="I20" s="91">
        <v>11.4</v>
      </c>
    </row>
    <row r="21" spans="1:9">
      <c r="A21" s="91">
        <v>18</v>
      </c>
      <c r="B21" s="91">
        <v>96.1</v>
      </c>
      <c r="C21" s="91">
        <v>25079</v>
      </c>
      <c r="D21" s="91">
        <v>2834</v>
      </c>
      <c r="E21" s="91">
        <v>78</v>
      </c>
      <c r="F21" s="91">
        <v>53948</v>
      </c>
      <c r="G21" s="91">
        <v>31159</v>
      </c>
      <c r="H21" s="91">
        <v>503</v>
      </c>
      <c r="I21" s="91">
        <v>3.9</v>
      </c>
    </row>
    <row r="22" spans="1:9">
      <c r="A22" s="91">
        <v>19</v>
      </c>
      <c r="B22" s="91">
        <v>95.3</v>
      </c>
      <c r="C22" s="91">
        <v>23408</v>
      </c>
      <c r="D22" s="91">
        <v>2252</v>
      </c>
      <c r="E22" s="91">
        <v>75</v>
      </c>
      <c r="F22" s="91">
        <v>60896</v>
      </c>
      <c r="G22" s="91">
        <v>32499</v>
      </c>
      <c r="H22" s="91">
        <v>1864</v>
      </c>
      <c r="I22" s="91">
        <v>4.9000000000000004</v>
      </c>
    </row>
    <row r="23" spans="1:9">
      <c r="A23" s="91">
        <v>20</v>
      </c>
      <c r="B23" s="91">
        <v>95</v>
      </c>
      <c r="C23" s="91">
        <v>23826</v>
      </c>
      <c r="D23" s="91">
        <v>2250</v>
      </c>
      <c r="E23" s="91">
        <v>72</v>
      </c>
      <c r="F23" s="91">
        <v>69432</v>
      </c>
      <c r="G23" s="91">
        <v>32353</v>
      </c>
      <c r="H23" s="91">
        <v>1238</v>
      </c>
      <c r="I23" s="91">
        <v>5.2</v>
      </c>
    </row>
    <row r="24" spans="1:9">
      <c r="A24" s="91">
        <v>21</v>
      </c>
      <c r="B24" s="91">
        <v>96.2</v>
      </c>
      <c r="C24" s="91">
        <v>26706</v>
      </c>
      <c r="D24" s="91">
        <v>2837</v>
      </c>
      <c r="E24" s="91">
        <v>69</v>
      </c>
      <c r="F24" s="91">
        <v>107547</v>
      </c>
      <c r="G24" s="91">
        <v>35982</v>
      </c>
      <c r="H24" s="91">
        <v>1401</v>
      </c>
      <c r="I24" s="91">
        <v>4.0999999999999996</v>
      </c>
    </row>
    <row r="25" spans="1:9">
      <c r="A25" s="91">
        <v>22</v>
      </c>
      <c r="B25" s="91">
        <v>94.8</v>
      </c>
      <c r="C25" s="91">
        <v>23396</v>
      </c>
      <c r="D25" s="91">
        <v>2309</v>
      </c>
      <c r="E25" s="91">
        <v>66</v>
      </c>
      <c r="F25" s="91">
        <v>48638</v>
      </c>
      <c r="G25" s="91">
        <v>31310</v>
      </c>
      <c r="H25" s="91">
        <v>1559</v>
      </c>
      <c r="I25" s="91">
        <v>6.1</v>
      </c>
    </row>
    <row r="26" spans="1:9">
      <c r="A26" s="91">
        <v>23</v>
      </c>
      <c r="B26" s="91">
        <v>94.6</v>
      </c>
      <c r="C26" s="91">
        <v>22405</v>
      </c>
      <c r="D26" s="91">
        <v>2492</v>
      </c>
      <c r="E26" s="91">
        <v>51</v>
      </c>
      <c r="F26" s="91">
        <v>57221</v>
      </c>
      <c r="G26" s="91">
        <v>33166</v>
      </c>
      <c r="H26" s="91">
        <v>487</v>
      </c>
      <c r="I26" s="91">
        <v>6.9</v>
      </c>
    </row>
    <row r="27" spans="1:9">
      <c r="A27" s="91">
        <v>24</v>
      </c>
      <c r="B27" s="91">
        <v>94.9</v>
      </c>
      <c r="C27" s="91">
        <v>24596</v>
      </c>
      <c r="D27" s="91">
        <v>2615</v>
      </c>
      <c r="E27" s="91">
        <v>50</v>
      </c>
      <c r="F27" s="91">
        <v>69320</v>
      </c>
      <c r="G27" s="91">
        <v>33690</v>
      </c>
      <c r="H27" s="91">
        <v>1725</v>
      </c>
      <c r="I27" s="91">
        <v>6.3</v>
      </c>
    </row>
    <row r="28" spans="1:9">
      <c r="A28" s="91">
        <v>25</v>
      </c>
      <c r="B28" s="91">
        <v>96.5</v>
      </c>
      <c r="C28" s="91">
        <v>26175</v>
      </c>
      <c r="D28" s="91">
        <v>2205</v>
      </c>
      <c r="E28" s="91">
        <v>84</v>
      </c>
      <c r="F28" s="91">
        <v>55478</v>
      </c>
      <c r="G28" s="91">
        <v>31821</v>
      </c>
      <c r="H28" s="91">
        <v>685</v>
      </c>
      <c r="I28" s="91">
        <v>2.7</v>
      </c>
    </row>
    <row r="29" spans="1:9">
      <c r="A29" s="91">
        <v>26</v>
      </c>
      <c r="B29" s="91">
        <v>96.2</v>
      </c>
      <c r="C29" s="91">
        <v>24709</v>
      </c>
      <c r="D29" s="91">
        <v>2420</v>
      </c>
      <c r="E29" s="91">
        <v>83</v>
      </c>
      <c r="F29" s="91">
        <v>49606</v>
      </c>
      <c r="G29" s="91">
        <v>28411</v>
      </c>
      <c r="H29" s="91">
        <v>346</v>
      </c>
      <c r="I29" s="91">
        <v>4.0999999999999996</v>
      </c>
    </row>
    <row r="30" spans="1:9">
      <c r="A30" s="91">
        <v>27</v>
      </c>
      <c r="B30" s="91">
        <v>96.7</v>
      </c>
      <c r="C30" s="91">
        <v>28718</v>
      </c>
      <c r="D30" s="91">
        <v>2063</v>
      </c>
      <c r="E30" s="91">
        <v>78</v>
      </c>
      <c r="F30" s="91">
        <v>77503</v>
      </c>
      <c r="G30" s="91">
        <v>30330</v>
      </c>
      <c r="H30" s="91">
        <v>954</v>
      </c>
      <c r="I30" s="91">
        <v>1.5</v>
      </c>
    </row>
    <row r="31" spans="1:9">
      <c r="A31" s="91">
        <v>28</v>
      </c>
      <c r="B31" s="91">
        <v>96.4</v>
      </c>
      <c r="C31" s="91">
        <v>28964</v>
      </c>
      <c r="D31" s="91">
        <v>2584</v>
      </c>
      <c r="E31" s="91">
        <v>75</v>
      </c>
      <c r="F31" s="91">
        <v>151992</v>
      </c>
      <c r="G31" s="91">
        <v>33447</v>
      </c>
      <c r="H31" s="91">
        <v>840</v>
      </c>
      <c r="I31" s="91">
        <v>1.8</v>
      </c>
    </row>
    <row r="32" spans="1:9">
      <c r="A32" s="91">
        <v>29</v>
      </c>
      <c r="B32" s="91">
        <v>96.4</v>
      </c>
      <c r="C32" s="91">
        <v>23904</v>
      </c>
      <c r="D32" s="91">
        <v>2416</v>
      </c>
      <c r="E32" s="91">
        <v>73</v>
      </c>
      <c r="F32" s="91">
        <v>69242</v>
      </c>
      <c r="G32" s="91">
        <v>31241</v>
      </c>
      <c r="H32" s="91">
        <v>794</v>
      </c>
      <c r="I32" s="91">
        <v>2.4</v>
      </c>
    </row>
    <row r="33" spans="1:9">
      <c r="A33" s="91">
        <v>30</v>
      </c>
      <c r="B33" s="91">
        <v>95.9</v>
      </c>
      <c r="C33" s="91">
        <v>24305</v>
      </c>
      <c r="D33" s="91">
        <v>2752</v>
      </c>
      <c r="E33" s="91">
        <v>64</v>
      </c>
      <c r="F33" s="91">
        <v>78102</v>
      </c>
      <c r="G33" s="91">
        <v>30738</v>
      </c>
      <c r="H33" s="91">
        <v>597</v>
      </c>
      <c r="I33" s="91">
        <v>2.5</v>
      </c>
    </row>
    <row r="34" spans="1:9">
      <c r="A34" s="91">
        <v>31</v>
      </c>
      <c r="B34" s="91">
        <v>95.9</v>
      </c>
      <c r="C34" s="91">
        <v>23754</v>
      </c>
      <c r="D34" s="91">
        <v>2321</v>
      </c>
      <c r="E34" s="91">
        <v>61</v>
      </c>
      <c r="F34" s="91">
        <v>69347</v>
      </c>
      <c r="G34" s="91">
        <v>28986</v>
      </c>
      <c r="H34" s="91">
        <v>805</v>
      </c>
      <c r="I34" s="91">
        <v>5.7</v>
      </c>
    </row>
    <row r="35" spans="1:9">
      <c r="A35" s="91">
        <v>32</v>
      </c>
      <c r="B35" s="91">
        <v>94.9</v>
      </c>
      <c r="C35" s="91">
        <v>24269</v>
      </c>
      <c r="D35" s="91">
        <v>2860</v>
      </c>
      <c r="E35" s="91">
        <v>60</v>
      </c>
      <c r="F35" s="91">
        <v>92648</v>
      </c>
      <c r="G35" s="91">
        <v>35879</v>
      </c>
      <c r="H35" s="91">
        <v>5758</v>
      </c>
      <c r="I35" s="91">
        <v>7.6</v>
      </c>
    </row>
    <row r="36" spans="1:9">
      <c r="A36" s="91">
        <v>33</v>
      </c>
      <c r="B36" s="91">
        <v>95.9</v>
      </c>
      <c r="C36" s="91">
        <v>23029</v>
      </c>
      <c r="D36" s="91">
        <v>2380</v>
      </c>
      <c r="E36" s="91">
        <v>69</v>
      </c>
      <c r="F36" s="91">
        <v>52655</v>
      </c>
      <c r="G36" s="91">
        <v>28479</v>
      </c>
      <c r="H36" s="91">
        <v>855</v>
      </c>
      <c r="I36" s="91">
        <v>5.3</v>
      </c>
    </row>
    <row r="37" spans="1:9">
      <c r="A37" s="91">
        <v>34</v>
      </c>
      <c r="B37" s="91">
        <v>93.7</v>
      </c>
      <c r="C37" s="91">
        <v>20418</v>
      </c>
      <c r="D37" s="91">
        <v>2512</v>
      </c>
      <c r="E37" s="91">
        <v>54</v>
      </c>
      <c r="F37" s="91">
        <v>61155</v>
      </c>
      <c r="G37" s="91">
        <v>30907</v>
      </c>
      <c r="H37" s="91">
        <v>2228</v>
      </c>
      <c r="I37" s="91">
        <v>13.8</v>
      </c>
    </row>
    <row r="38" spans="1:9">
      <c r="A38" s="91">
        <v>35</v>
      </c>
      <c r="B38" s="91">
        <v>95.8</v>
      </c>
      <c r="C38" s="91">
        <v>24723</v>
      </c>
      <c r="D38" s="91">
        <v>2431</v>
      </c>
      <c r="E38" s="91">
        <v>82</v>
      </c>
      <c r="F38" s="91">
        <v>57685</v>
      </c>
      <c r="G38" s="91">
        <v>30904</v>
      </c>
      <c r="H38" s="91">
        <v>1009</v>
      </c>
      <c r="I38" s="91">
        <v>4.0999999999999996</v>
      </c>
    </row>
    <row r="39" spans="1:9">
      <c r="A39" s="91">
        <v>36</v>
      </c>
      <c r="B39" s="91">
        <v>95.9</v>
      </c>
      <c r="C39" s="91">
        <v>23061</v>
      </c>
      <c r="D39" s="91">
        <v>2552</v>
      </c>
      <c r="E39" s="91">
        <v>75</v>
      </c>
      <c r="F39" s="91">
        <v>63134</v>
      </c>
      <c r="G39" s="91">
        <v>31895</v>
      </c>
      <c r="H39" s="91">
        <v>1176</v>
      </c>
      <c r="I39" s="91">
        <v>5.2</v>
      </c>
    </row>
    <row r="40" spans="1:9">
      <c r="A40" s="91">
        <v>37</v>
      </c>
      <c r="B40" s="91">
        <v>94.6</v>
      </c>
      <c r="C40" s="91">
        <v>25304</v>
      </c>
      <c r="D40" s="91">
        <v>2422</v>
      </c>
      <c r="E40" s="91">
        <v>73</v>
      </c>
      <c r="F40" s="91">
        <v>84245</v>
      </c>
      <c r="G40" s="91">
        <v>32773</v>
      </c>
      <c r="H40" s="91">
        <v>2331</v>
      </c>
      <c r="I40" s="91">
        <v>6.6</v>
      </c>
    </row>
    <row r="41" spans="1:9">
      <c r="A41" s="91">
        <v>38</v>
      </c>
      <c r="B41" s="91">
        <v>94.9</v>
      </c>
      <c r="C41" s="91">
        <v>23962</v>
      </c>
      <c r="D41" s="91">
        <v>2454</v>
      </c>
      <c r="E41" s="91">
        <v>71</v>
      </c>
      <c r="F41" s="91">
        <v>49709</v>
      </c>
      <c r="G41" s="91">
        <v>31324</v>
      </c>
      <c r="H41" s="91">
        <v>605</v>
      </c>
      <c r="I41" s="91">
        <v>6</v>
      </c>
    </row>
    <row r="42" spans="1:9">
      <c r="A42" s="91">
        <v>39</v>
      </c>
      <c r="B42" s="91">
        <v>95.8</v>
      </c>
      <c r="C42" s="91">
        <v>22942</v>
      </c>
      <c r="D42" s="91">
        <v>2474</v>
      </c>
      <c r="E42" s="91">
        <v>64</v>
      </c>
      <c r="F42" s="91">
        <v>63103</v>
      </c>
      <c r="G42" s="91">
        <v>30838</v>
      </c>
      <c r="H42" s="91">
        <v>686</v>
      </c>
      <c r="I42" s="91">
        <v>4.3</v>
      </c>
    </row>
    <row r="43" spans="1:9">
      <c r="A43" s="91">
        <v>40</v>
      </c>
      <c r="B43" s="91">
        <v>95.1</v>
      </c>
      <c r="C43" s="91">
        <v>24025</v>
      </c>
      <c r="D43" s="91">
        <v>2374</v>
      </c>
      <c r="E43" s="91">
        <v>55</v>
      </c>
      <c r="F43" s="91">
        <v>66912</v>
      </c>
      <c r="G43" s="91">
        <v>32164</v>
      </c>
      <c r="H43" s="91">
        <v>2276</v>
      </c>
      <c r="I43" s="91">
        <v>6.9</v>
      </c>
    </row>
    <row r="44" spans="1:9">
      <c r="A44" s="91">
        <v>41</v>
      </c>
      <c r="B44" s="91">
        <v>94.6</v>
      </c>
      <c r="C44" s="91">
        <v>23304</v>
      </c>
      <c r="D44" s="91">
        <v>2347</v>
      </c>
      <c r="E44" s="91">
        <v>53</v>
      </c>
      <c r="F44" s="91">
        <v>58832</v>
      </c>
      <c r="G44" s="91">
        <v>35042</v>
      </c>
      <c r="H44" s="91">
        <v>2300</v>
      </c>
      <c r="I44" s="91">
        <v>14.3</v>
      </c>
    </row>
    <row r="45" spans="1:9">
      <c r="A45" s="91">
        <v>42</v>
      </c>
      <c r="B45" s="91">
        <v>94</v>
      </c>
      <c r="C45" s="91">
        <v>21551</v>
      </c>
      <c r="D45" s="91">
        <v>2384</v>
      </c>
      <c r="E45" s="91">
        <v>50</v>
      </c>
      <c r="F45" s="91">
        <v>72266</v>
      </c>
      <c r="G45" s="91">
        <v>37145</v>
      </c>
      <c r="H45" s="91">
        <v>2650</v>
      </c>
      <c r="I45" s="91">
        <v>12.2</v>
      </c>
    </row>
    <row r="46" spans="1:9">
      <c r="A46" s="91">
        <v>43</v>
      </c>
      <c r="B46" s="91">
        <v>95.7</v>
      </c>
      <c r="C46" s="91">
        <v>45723</v>
      </c>
      <c r="D46" s="91">
        <v>4150</v>
      </c>
      <c r="E46" s="91">
        <v>95</v>
      </c>
      <c r="F46" s="91">
        <v>122356</v>
      </c>
      <c r="G46" s="91">
        <v>43256</v>
      </c>
      <c r="H46" s="91">
        <v>933</v>
      </c>
      <c r="I46" s="91">
        <v>0.2</v>
      </c>
    </row>
    <row r="47" spans="1:9">
      <c r="A47" s="91">
        <v>44</v>
      </c>
      <c r="B47" s="91">
        <v>95.3</v>
      </c>
      <c r="C47" s="91">
        <v>29215</v>
      </c>
      <c r="D47" s="91">
        <v>2844</v>
      </c>
      <c r="E47" s="91">
        <v>75</v>
      </c>
      <c r="F47" s="91">
        <v>88004</v>
      </c>
      <c r="G47" s="91">
        <v>35617</v>
      </c>
      <c r="H47" s="91">
        <v>3178</v>
      </c>
      <c r="I47" s="91">
        <v>3.1</v>
      </c>
    </row>
    <row r="48" spans="1:9">
      <c r="A48" s="91">
        <v>45</v>
      </c>
      <c r="B48" s="91">
        <v>95.5</v>
      </c>
      <c r="C48" s="91">
        <v>32114</v>
      </c>
      <c r="D48" s="91">
        <v>2943</v>
      </c>
      <c r="E48" s="91">
        <v>72</v>
      </c>
      <c r="F48" s="91">
        <v>101503</v>
      </c>
      <c r="G48" s="91">
        <v>39684</v>
      </c>
      <c r="H48" s="91">
        <v>7822</v>
      </c>
      <c r="I48" s="91">
        <v>3.8</v>
      </c>
    </row>
    <row r="49" spans="1:9">
      <c r="A49" s="91">
        <v>46</v>
      </c>
      <c r="B49" s="91">
        <v>95</v>
      </c>
      <c r="C49" s="91">
        <v>27604</v>
      </c>
      <c r="D49" s="91">
        <v>3933</v>
      </c>
      <c r="E49" s="91">
        <v>69</v>
      </c>
      <c r="F49" s="91">
        <v>117921</v>
      </c>
      <c r="G49" s="91">
        <v>41634</v>
      </c>
      <c r="H49" s="91">
        <v>3009</v>
      </c>
      <c r="I49" s="91">
        <v>3.9</v>
      </c>
    </row>
    <row r="50" spans="1:9">
      <c r="A50" s="91">
        <v>47</v>
      </c>
      <c r="B50" s="91">
        <v>94.7</v>
      </c>
      <c r="C50" s="91">
        <v>24525</v>
      </c>
      <c r="D50" s="91">
        <v>2941</v>
      </c>
      <c r="E50" s="91">
        <v>52</v>
      </c>
      <c r="F50" s="91">
        <v>123599</v>
      </c>
      <c r="G50" s="91">
        <v>35848</v>
      </c>
      <c r="H50" s="91">
        <v>3594</v>
      </c>
      <c r="I50" s="91">
        <v>8.6999999999999993</v>
      </c>
    </row>
    <row r="51" spans="1:9">
      <c r="A51" s="91">
        <v>48</v>
      </c>
      <c r="B51" s="91">
        <v>93.7</v>
      </c>
      <c r="C51" s="91">
        <v>23507</v>
      </c>
      <c r="D51" s="91">
        <v>2997</v>
      </c>
      <c r="E51" s="91">
        <v>51</v>
      </c>
      <c r="F51" s="91">
        <v>102485</v>
      </c>
      <c r="G51" s="91">
        <v>39155</v>
      </c>
      <c r="H51" s="91">
        <v>7154</v>
      </c>
      <c r="I51" s="91">
        <v>11.8</v>
      </c>
    </row>
    <row r="52" spans="1:9">
      <c r="A52" s="91">
        <v>49</v>
      </c>
      <c r="B52" s="91">
        <v>93.8</v>
      </c>
      <c r="C52" s="91">
        <v>26048</v>
      </c>
      <c r="D52" s="91">
        <v>2774</v>
      </c>
      <c r="E52" s="91">
        <v>49</v>
      </c>
      <c r="F52" s="91">
        <v>98346</v>
      </c>
      <c r="G52" s="91">
        <v>34437</v>
      </c>
      <c r="H52" s="91">
        <v>3575</v>
      </c>
      <c r="I52" s="91">
        <v>12.2</v>
      </c>
    </row>
    <row r="53" spans="1:9">
      <c r="A53" s="91">
        <v>50</v>
      </c>
      <c r="B53" s="91">
        <v>90.7</v>
      </c>
      <c r="C53" s="91">
        <v>21079</v>
      </c>
      <c r="D53" s="91">
        <v>2611</v>
      </c>
      <c r="E53" s="91">
        <v>28</v>
      </c>
      <c r="F53" s="91">
        <v>62668</v>
      </c>
      <c r="G53" s="91">
        <v>36190</v>
      </c>
      <c r="H53" s="91">
        <v>36790</v>
      </c>
      <c r="I53" s="91">
        <v>42.8</v>
      </c>
    </row>
    <row r="54" spans="1:9">
      <c r="A54" s="91">
        <v>51</v>
      </c>
      <c r="B54" s="91">
        <v>95.6</v>
      </c>
      <c r="C54" s="91">
        <v>23899</v>
      </c>
      <c r="D54" s="91">
        <v>3444</v>
      </c>
      <c r="E54" s="91">
        <v>81</v>
      </c>
      <c r="F54" s="91">
        <v>237206</v>
      </c>
      <c r="G54" s="91">
        <v>42734</v>
      </c>
      <c r="H54" s="91">
        <v>2063</v>
      </c>
      <c r="I54" s="91">
        <v>4.7</v>
      </c>
    </row>
    <row r="55" spans="1:9">
      <c r="A55" s="91">
        <v>52</v>
      </c>
      <c r="B55" s="91">
        <v>95.3</v>
      </c>
      <c r="C55" s="91">
        <v>21325</v>
      </c>
      <c r="D55" s="91">
        <v>3158</v>
      </c>
      <c r="E55" s="91">
        <v>65</v>
      </c>
      <c r="F55" s="91">
        <v>182360</v>
      </c>
      <c r="G55" s="91">
        <v>34971</v>
      </c>
      <c r="H55" s="91">
        <v>635</v>
      </c>
      <c r="I55" s="91">
        <v>3.2</v>
      </c>
    </row>
    <row r="56" spans="1:9">
      <c r="A56" s="91">
        <v>53</v>
      </c>
      <c r="B56" s="91">
        <v>95.9</v>
      </c>
      <c r="C56" s="91">
        <v>25321</v>
      </c>
      <c r="D56" s="91">
        <v>2845</v>
      </c>
      <c r="E56" s="91">
        <v>65</v>
      </c>
      <c r="F56" s="91">
        <v>53120</v>
      </c>
      <c r="G56" s="91">
        <v>34661</v>
      </c>
      <c r="H56" s="91">
        <v>1584</v>
      </c>
      <c r="I56" s="91">
        <v>4.8</v>
      </c>
    </row>
    <row r="57" spans="1:9">
      <c r="A57" s="91">
        <v>54</v>
      </c>
      <c r="B57" s="91">
        <v>94.5</v>
      </c>
      <c r="C57" s="91">
        <v>20941</v>
      </c>
      <c r="D57" s="91">
        <v>2926</v>
      </c>
      <c r="E57" s="91">
        <v>50</v>
      </c>
      <c r="F57" s="91">
        <v>129961</v>
      </c>
      <c r="G57" s="91">
        <v>39542</v>
      </c>
      <c r="H57" s="91">
        <v>2238</v>
      </c>
      <c r="I57" s="91">
        <v>10.5</v>
      </c>
    </row>
    <row r="58" spans="1:9">
      <c r="A58" s="91">
        <v>55</v>
      </c>
      <c r="B58" s="91">
        <v>94.5</v>
      </c>
      <c r="C58" s="91">
        <v>19266</v>
      </c>
      <c r="D58" s="91">
        <v>7824</v>
      </c>
      <c r="E58" s="91">
        <v>33</v>
      </c>
      <c r="F58" s="91">
        <v>426419</v>
      </c>
      <c r="G58" s="91">
        <v>30242</v>
      </c>
      <c r="H58" s="91">
        <v>70</v>
      </c>
      <c r="I58" s="91">
        <v>1.4</v>
      </c>
    </row>
    <row r="59" spans="1:9">
      <c r="A59" s="91">
        <v>56</v>
      </c>
      <c r="B59" s="91">
        <v>94.5</v>
      </c>
      <c r="C59" s="91">
        <v>22677</v>
      </c>
      <c r="D59" s="91">
        <v>2560</v>
      </c>
      <c r="E59" s="91">
        <v>59</v>
      </c>
      <c r="F59" s="91">
        <v>46163</v>
      </c>
      <c r="G59" s="91">
        <v>32928</v>
      </c>
      <c r="H59" s="91">
        <v>1993</v>
      </c>
      <c r="I59" s="91">
        <v>8.6</v>
      </c>
    </row>
    <row r="60" spans="1:9">
      <c r="A60" s="91">
        <v>57</v>
      </c>
      <c r="B60" s="91">
        <v>99.8</v>
      </c>
      <c r="C60" s="91">
        <v>24128</v>
      </c>
      <c r="D60" s="91">
        <v>2588</v>
      </c>
      <c r="E60" s="91">
        <v>86</v>
      </c>
      <c r="F60" s="91">
        <v>46582</v>
      </c>
      <c r="G60" s="91">
        <v>26125</v>
      </c>
      <c r="H60" s="91">
        <v>610</v>
      </c>
      <c r="I60" s="91">
        <v>0.2</v>
      </c>
    </row>
    <row r="61" spans="1:9">
      <c r="A61" s="91">
        <v>58</v>
      </c>
      <c r="B61" s="91">
        <v>96.2</v>
      </c>
      <c r="C61" s="91">
        <v>23562</v>
      </c>
      <c r="D61" s="91">
        <v>2174</v>
      </c>
      <c r="E61" s="91">
        <v>84</v>
      </c>
      <c r="F61" s="91">
        <v>55568</v>
      </c>
      <c r="G61" s="91">
        <v>30476</v>
      </c>
      <c r="H61" s="91">
        <v>866</v>
      </c>
      <c r="I61" s="91">
        <v>8.4</v>
      </c>
    </row>
    <row r="62" spans="1:9">
      <c r="A62" s="91">
        <v>59</v>
      </c>
      <c r="B62" s="91">
        <v>96.8</v>
      </c>
      <c r="C62" s="91">
        <v>24456</v>
      </c>
      <c r="D62" s="91">
        <v>2274</v>
      </c>
      <c r="E62" s="91">
        <v>81</v>
      </c>
      <c r="F62" s="91">
        <v>44267</v>
      </c>
      <c r="G62" s="91">
        <v>28962</v>
      </c>
      <c r="H62" s="91">
        <v>775</v>
      </c>
      <c r="I62" s="91">
        <v>0.7</v>
      </c>
    </row>
    <row r="63" spans="1:9">
      <c r="A63" s="91">
        <v>60</v>
      </c>
      <c r="B63" s="91">
        <v>95.5</v>
      </c>
      <c r="C63" s="91">
        <v>23625</v>
      </c>
      <c r="D63" s="91">
        <v>2225</v>
      </c>
      <c r="E63" s="91">
        <v>79</v>
      </c>
      <c r="F63" s="91">
        <v>37277</v>
      </c>
      <c r="G63" s="91">
        <v>28945</v>
      </c>
      <c r="H63" s="91">
        <v>792</v>
      </c>
      <c r="I63" s="91">
        <v>10</v>
      </c>
    </row>
    <row r="64" spans="1:9">
      <c r="A64" s="91">
        <v>61</v>
      </c>
      <c r="B64" s="91">
        <v>96.5</v>
      </c>
      <c r="C64" s="91">
        <v>25363</v>
      </c>
      <c r="D64" s="91">
        <v>2154</v>
      </c>
      <c r="E64" s="91">
        <v>77</v>
      </c>
      <c r="F64" s="91">
        <v>64288</v>
      </c>
      <c r="G64" s="91">
        <v>31185</v>
      </c>
      <c r="H64" s="91">
        <v>1749</v>
      </c>
      <c r="I64" s="91">
        <v>6.5</v>
      </c>
    </row>
    <row r="65" spans="1:9">
      <c r="A65" s="91">
        <v>62</v>
      </c>
      <c r="B65" s="91">
        <v>96.5</v>
      </c>
      <c r="C65" s="91">
        <v>23806</v>
      </c>
      <c r="D65" s="91">
        <v>2078</v>
      </c>
      <c r="E65" s="91">
        <v>67</v>
      </c>
      <c r="F65" s="91">
        <v>55446</v>
      </c>
      <c r="G65" s="91">
        <v>27693</v>
      </c>
      <c r="H65" s="91">
        <v>632</v>
      </c>
      <c r="I65" s="91">
        <v>1.2</v>
      </c>
    </row>
    <row r="66" spans="1:9">
      <c r="A66" s="91">
        <v>63</v>
      </c>
      <c r="B66" s="91">
        <v>93.9</v>
      </c>
      <c r="C66" s="91">
        <v>20941</v>
      </c>
      <c r="D66" s="91">
        <v>2811</v>
      </c>
      <c r="E66" s="91">
        <v>47</v>
      </c>
      <c r="F66" s="91">
        <v>62648</v>
      </c>
      <c r="G66" s="91">
        <v>30282</v>
      </c>
      <c r="H66" s="91">
        <v>748</v>
      </c>
      <c r="I66" s="91">
        <v>16.100000000000001</v>
      </c>
    </row>
    <row r="67" spans="1:9">
      <c r="A67" s="91">
        <v>64</v>
      </c>
      <c r="B67" s="91">
        <v>94.4</v>
      </c>
      <c r="C67" s="91">
        <v>23312</v>
      </c>
      <c r="D67" s="91">
        <v>2242</v>
      </c>
      <c r="E67" s="91">
        <v>71</v>
      </c>
      <c r="F67" s="91">
        <v>46098</v>
      </c>
      <c r="G67" s="91">
        <v>31244</v>
      </c>
      <c r="H67" s="91">
        <v>983</v>
      </c>
      <c r="I67" s="91">
        <v>17.8</v>
      </c>
    </row>
    <row r="68" spans="1:9">
      <c r="A68" s="91">
        <v>65</v>
      </c>
      <c r="B68" s="91">
        <v>95.2</v>
      </c>
      <c r="C68" s="91">
        <v>22678</v>
      </c>
      <c r="D68" s="91">
        <v>2306</v>
      </c>
      <c r="E68" s="91">
        <v>66</v>
      </c>
      <c r="F68" s="91">
        <v>55933</v>
      </c>
      <c r="G68" s="91">
        <v>30765</v>
      </c>
      <c r="H68" s="91">
        <v>1332</v>
      </c>
      <c r="I68" s="91">
        <v>10.5</v>
      </c>
    </row>
    <row r="69" spans="1:9">
      <c r="A69" s="91">
        <v>66</v>
      </c>
      <c r="B69" s="91">
        <v>94.7</v>
      </c>
      <c r="C69" s="91">
        <v>22327</v>
      </c>
      <c r="D69" s="91">
        <v>2616</v>
      </c>
      <c r="E69" s="91">
        <v>57</v>
      </c>
      <c r="F69" s="91">
        <v>74874</v>
      </c>
      <c r="G69" s="91">
        <v>37759</v>
      </c>
      <c r="H69" s="91">
        <v>5156</v>
      </c>
      <c r="I69" s="91">
        <v>16.2</v>
      </c>
    </row>
    <row r="70" spans="1:9">
      <c r="A70" s="91">
        <v>67</v>
      </c>
      <c r="B70" s="91">
        <v>96.5</v>
      </c>
      <c r="C70" s="91">
        <v>26460</v>
      </c>
      <c r="D70" s="91">
        <v>2227</v>
      </c>
      <c r="E70" s="91">
        <v>56</v>
      </c>
      <c r="F70" s="91">
        <v>90484</v>
      </c>
      <c r="G70" s="91">
        <v>32296</v>
      </c>
      <c r="H70" s="91">
        <v>1141</v>
      </c>
      <c r="I70" s="91">
        <v>10.9</v>
      </c>
    </row>
    <row r="71" spans="1:9">
      <c r="A71" s="91">
        <v>68</v>
      </c>
      <c r="B71" s="91">
        <v>94.6</v>
      </c>
      <c r="C71" s="91">
        <v>23854</v>
      </c>
      <c r="D71" s="91">
        <v>2383</v>
      </c>
      <c r="E71" s="91">
        <v>47</v>
      </c>
      <c r="F71" s="91">
        <v>55724</v>
      </c>
      <c r="G71" s="91">
        <v>33998</v>
      </c>
      <c r="H71" s="91">
        <v>2368</v>
      </c>
      <c r="I71" s="91">
        <v>7</v>
      </c>
    </row>
    <row r="72" spans="1:9">
      <c r="A72" s="91">
        <v>69</v>
      </c>
      <c r="B72" s="91">
        <v>95.8</v>
      </c>
      <c r="C72" s="91">
        <v>22103</v>
      </c>
      <c r="D72" s="91">
        <v>2394</v>
      </c>
      <c r="E72" s="91">
        <v>83</v>
      </c>
      <c r="F72" s="91">
        <v>37269</v>
      </c>
      <c r="G72" s="91">
        <v>27466</v>
      </c>
      <c r="H72" s="91">
        <v>347</v>
      </c>
      <c r="I72" s="91">
        <v>6.1</v>
      </c>
    </row>
    <row r="73" spans="1:9">
      <c r="A73" s="91">
        <v>70</v>
      </c>
      <c r="B73" s="91">
        <v>95.9</v>
      </c>
      <c r="C73" s="91">
        <v>22656</v>
      </c>
      <c r="D73" s="91">
        <v>2435</v>
      </c>
      <c r="E73" s="91">
        <v>80</v>
      </c>
      <c r="F73" s="91">
        <v>50895</v>
      </c>
      <c r="G73" s="91">
        <v>29940</v>
      </c>
      <c r="H73" s="91">
        <v>1183</v>
      </c>
      <c r="I73" s="91">
        <v>4.8</v>
      </c>
    </row>
    <row r="74" spans="1:9">
      <c r="A74" s="91">
        <v>71</v>
      </c>
      <c r="B74" s="91">
        <v>96</v>
      </c>
      <c r="C74" s="91">
        <v>23208</v>
      </c>
      <c r="D74" s="91">
        <v>2743</v>
      </c>
      <c r="E74" s="91">
        <v>78</v>
      </c>
      <c r="F74" s="91">
        <v>50712</v>
      </c>
      <c r="G74" s="91">
        <v>28195</v>
      </c>
      <c r="H74" s="91">
        <v>540</v>
      </c>
      <c r="I74" s="91">
        <v>19.3</v>
      </c>
    </row>
    <row r="75" spans="1:9">
      <c r="A75" s="91">
        <v>72</v>
      </c>
      <c r="B75" s="91">
        <v>94.6</v>
      </c>
      <c r="C75" s="91">
        <v>22103</v>
      </c>
      <c r="D75" s="91">
        <v>2564</v>
      </c>
      <c r="E75" s="91">
        <v>74</v>
      </c>
      <c r="F75" s="91">
        <v>72201</v>
      </c>
      <c r="G75" s="91">
        <v>30644</v>
      </c>
      <c r="H75" s="91">
        <v>870</v>
      </c>
      <c r="I75" s="91">
        <v>4.7</v>
      </c>
    </row>
    <row r="76" spans="1:9">
      <c r="A76" s="91">
        <v>73</v>
      </c>
      <c r="B76" s="91">
        <v>97</v>
      </c>
      <c r="C76" s="91">
        <v>23314</v>
      </c>
      <c r="D76" s="91">
        <v>2501</v>
      </c>
      <c r="E76" s="91">
        <v>73</v>
      </c>
      <c r="F76" s="91">
        <v>41376</v>
      </c>
      <c r="G76" s="91">
        <v>29099</v>
      </c>
      <c r="H76" s="91">
        <v>459</v>
      </c>
      <c r="I76" s="91">
        <v>2.7</v>
      </c>
    </row>
    <row r="77" spans="1:9">
      <c r="A77" s="91">
        <v>74</v>
      </c>
      <c r="B77" s="91">
        <v>94.7</v>
      </c>
      <c r="C77" s="91">
        <v>21246</v>
      </c>
      <c r="D77" s="91">
        <v>2506</v>
      </c>
      <c r="E77" s="91">
        <v>67</v>
      </c>
      <c r="F77" s="91">
        <v>65291</v>
      </c>
      <c r="G77" s="91">
        <v>35513</v>
      </c>
      <c r="H77" s="91">
        <v>3632</v>
      </c>
      <c r="I77" s="91">
        <v>9</v>
      </c>
    </row>
    <row r="78" spans="1:9">
      <c r="A78" s="91">
        <v>75</v>
      </c>
      <c r="B78" s="91">
        <v>92.7</v>
      </c>
      <c r="C78" s="91">
        <v>20809</v>
      </c>
      <c r="D78" s="91">
        <v>2455</v>
      </c>
      <c r="E78" s="91">
        <v>34</v>
      </c>
      <c r="F78" s="91">
        <v>62268</v>
      </c>
      <c r="G78" s="91">
        <v>34241</v>
      </c>
      <c r="H78" s="91">
        <v>2742</v>
      </c>
      <c r="I78" s="91">
        <v>20.399999999999999</v>
      </c>
    </row>
    <row r="79" spans="1:9">
      <c r="A79" s="91">
        <v>76</v>
      </c>
      <c r="B79" s="91">
        <v>95.3</v>
      </c>
      <c r="C79" s="91">
        <v>22728</v>
      </c>
      <c r="D79" s="91">
        <v>2511</v>
      </c>
      <c r="E79" s="91">
        <v>61</v>
      </c>
      <c r="F79" s="91">
        <v>67932</v>
      </c>
      <c r="G79" s="91">
        <v>33885</v>
      </c>
      <c r="H79" s="91">
        <v>2504</v>
      </c>
      <c r="I79" s="91">
        <v>7.1</v>
      </c>
    </row>
    <row r="80" spans="1:9">
      <c r="A80" s="91">
        <v>77</v>
      </c>
      <c r="B80" s="91">
        <v>95.1</v>
      </c>
      <c r="C80" s="91">
        <v>23035</v>
      </c>
      <c r="D80" s="91">
        <v>1916</v>
      </c>
      <c r="E80" s="91">
        <v>73</v>
      </c>
      <c r="F80" s="91">
        <v>38462</v>
      </c>
      <c r="G80" s="91">
        <v>30833</v>
      </c>
      <c r="H80" s="91">
        <v>744</v>
      </c>
      <c r="I80" s="91">
        <v>2.7</v>
      </c>
    </row>
    <row r="81" spans="1:9">
      <c r="A81" s="91">
        <v>78</v>
      </c>
      <c r="B81" s="91">
        <v>95.9</v>
      </c>
      <c r="C81" s="91">
        <v>21302</v>
      </c>
      <c r="D81" s="91">
        <v>2382</v>
      </c>
      <c r="E81" s="91">
        <v>71</v>
      </c>
      <c r="F81" s="91">
        <v>40239</v>
      </c>
      <c r="G81" s="91">
        <v>31582</v>
      </c>
      <c r="H81" s="91">
        <v>788</v>
      </c>
      <c r="I81" s="91">
        <v>3.2</v>
      </c>
    </row>
    <row r="82" spans="1:9">
      <c r="A82" s="91">
        <v>79</v>
      </c>
      <c r="B82" s="91">
        <v>95.2</v>
      </c>
      <c r="C82" s="91">
        <v>22607</v>
      </c>
      <c r="D82" s="91">
        <v>2706</v>
      </c>
      <c r="E82" s="91">
        <v>69</v>
      </c>
      <c r="F82" s="91">
        <v>81152</v>
      </c>
      <c r="G82" s="91">
        <v>32643</v>
      </c>
      <c r="H82" s="91">
        <v>2266</v>
      </c>
      <c r="I82" s="91">
        <v>4.2</v>
      </c>
    </row>
    <row r="83" spans="1:9">
      <c r="A83" s="91">
        <v>80</v>
      </c>
      <c r="B83" s="91">
        <v>95.6</v>
      </c>
      <c r="C83" s="91">
        <v>21871</v>
      </c>
      <c r="D83" s="91">
        <v>2349</v>
      </c>
      <c r="E83" s="91">
        <v>68</v>
      </c>
      <c r="F83" s="91">
        <v>59396</v>
      </c>
      <c r="G83" s="91">
        <v>31978</v>
      </c>
      <c r="H83" s="91">
        <v>757</v>
      </c>
      <c r="I83" s="91">
        <v>2.9</v>
      </c>
    </row>
    <row r="84" spans="1:9">
      <c r="A84" s="91">
        <v>81</v>
      </c>
      <c r="B84" s="91">
        <v>94.8</v>
      </c>
      <c r="C84" s="91">
        <v>20787</v>
      </c>
      <c r="D84" s="91">
        <v>2654</v>
      </c>
      <c r="E84" s="91">
        <v>67</v>
      </c>
      <c r="F84" s="91">
        <v>44383</v>
      </c>
      <c r="G84" s="91">
        <v>33243</v>
      </c>
      <c r="H84" s="91">
        <v>1172</v>
      </c>
      <c r="I84" s="91">
        <v>8.1999999999999993</v>
      </c>
    </row>
    <row r="85" spans="1:9">
      <c r="A85" s="91">
        <v>82</v>
      </c>
      <c r="B85" s="91">
        <v>95.9</v>
      </c>
      <c r="C85" s="91">
        <v>22429</v>
      </c>
      <c r="D85" s="91">
        <v>2470</v>
      </c>
      <c r="E85" s="91">
        <v>61</v>
      </c>
      <c r="F85" s="91">
        <v>54040</v>
      </c>
      <c r="G85" s="91">
        <v>28975</v>
      </c>
      <c r="H85" s="91">
        <v>767</v>
      </c>
      <c r="I85" s="91">
        <v>4.0999999999999996</v>
      </c>
    </row>
    <row r="86" spans="1:9">
      <c r="A86" s="91">
        <v>83</v>
      </c>
      <c r="B86" s="91">
        <v>95.7</v>
      </c>
      <c r="C86" s="91">
        <v>24084</v>
      </c>
      <c r="D86" s="91">
        <v>2617</v>
      </c>
      <c r="E86" s="91">
        <v>47</v>
      </c>
      <c r="F86" s="91">
        <v>65532</v>
      </c>
      <c r="G86" s="91">
        <v>33855</v>
      </c>
      <c r="H86" s="91">
        <v>579</v>
      </c>
      <c r="I86" s="91">
        <v>3.4</v>
      </c>
    </row>
    <row r="87" spans="1:9">
      <c r="A87" s="91">
        <v>84</v>
      </c>
      <c r="B87" s="91">
        <v>96.1</v>
      </c>
      <c r="C87" s="91">
        <v>32773</v>
      </c>
      <c r="D87" s="91">
        <v>3011</v>
      </c>
      <c r="E87" s="91">
        <v>98</v>
      </c>
      <c r="F87" s="91">
        <v>97888</v>
      </c>
      <c r="G87" s="91">
        <v>40320</v>
      </c>
      <c r="H87" s="91">
        <v>3839</v>
      </c>
      <c r="I87" s="91">
        <v>2.6</v>
      </c>
    </row>
    <row r="88" spans="1:9">
      <c r="A88" s="91">
        <v>85</v>
      </c>
      <c r="B88" s="91">
        <v>95.2</v>
      </c>
      <c r="C88" s="91">
        <v>22179</v>
      </c>
      <c r="D88" s="91">
        <v>2643</v>
      </c>
      <c r="E88" s="91">
        <v>68</v>
      </c>
      <c r="F88" s="91">
        <v>47644</v>
      </c>
      <c r="G88" s="91">
        <v>30434</v>
      </c>
      <c r="H88" s="91">
        <v>1237</v>
      </c>
      <c r="I88" s="91">
        <v>7.5</v>
      </c>
    </row>
    <row r="89" spans="1:9">
      <c r="A89" s="91">
        <v>86</v>
      </c>
      <c r="B89" s="91">
        <v>94.7</v>
      </c>
      <c r="C89" s="91">
        <v>21307</v>
      </c>
      <c r="D89" s="91">
        <v>2849</v>
      </c>
      <c r="E89" s="91">
        <v>68</v>
      </c>
      <c r="F89" s="91">
        <v>84682</v>
      </c>
      <c r="G89" s="91">
        <v>37983</v>
      </c>
      <c r="H89" s="91">
        <v>3534</v>
      </c>
      <c r="I89" s="91">
        <v>7.5</v>
      </c>
    </row>
    <row r="90" spans="1:9">
      <c r="A90" s="91">
        <v>87</v>
      </c>
      <c r="B90" s="91">
        <v>95.4</v>
      </c>
      <c r="C90" s="91">
        <v>24614</v>
      </c>
      <c r="D90" s="91">
        <v>2539</v>
      </c>
      <c r="E90" s="91">
        <v>64</v>
      </c>
      <c r="F90" s="91">
        <v>57601</v>
      </c>
      <c r="G90" s="91">
        <v>36065</v>
      </c>
      <c r="H90" s="91">
        <v>1643</v>
      </c>
      <c r="I90" s="91">
        <v>5</v>
      </c>
    </row>
    <row r="91" spans="1:9">
      <c r="A91" s="91">
        <v>88</v>
      </c>
      <c r="B91" s="91">
        <v>94.9</v>
      </c>
      <c r="C91" s="91">
        <v>25905</v>
      </c>
      <c r="D91" s="91">
        <v>2979</v>
      </c>
      <c r="E91" s="91">
        <v>61</v>
      </c>
      <c r="F91" s="91">
        <v>77077</v>
      </c>
      <c r="G91" s="91">
        <v>35536</v>
      </c>
      <c r="H91" s="91">
        <v>1091</v>
      </c>
      <c r="I91" s="91">
        <v>7.9</v>
      </c>
    </row>
    <row r="92" spans="1:9">
      <c r="A92" s="91">
        <v>89</v>
      </c>
      <c r="B92" s="91">
        <v>95.9</v>
      </c>
      <c r="C92" s="91">
        <v>25043</v>
      </c>
      <c r="D92" s="91">
        <v>2499</v>
      </c>
      <c r="E92" s="91">
        <v>60</v>
      </c>
      <c r="F92" s="91">
        <v>67929</v>
      </c>
      <c r="G92" s="91">
        <v>35742</v>
      </c>
      <c r="H92" s="91">
        <v>1739</v>
      </c>
      <c r="I92" s="91">
        <v>4.7</v>
      </c>
    </row>
    <row r="93" spans="1:9">
      <c r="A93" s="91">
        <v>90</v>
      </c>
      <c r="B93" s="91">
        <v>95.2</v>
      </c>
      <c r="C93" s="91">
        <v>23559</v>
      </c>
      <c r="D93" s="91">
        <v>2820</v>
      </c>
      <c r="E93" s="91">
        <v>55</v>
      </c>
      <c r="F93" s="91">
        <v>95859</v>
      </c>
      <c r="G93" s="91">
        <v>38046</v>
      </c>
      <c r="H93" s="91">
        <v>1665</v>
      </c>
      <c r="I93" s="91">
        <v>6.2</v>
      </c>
    </row>
    <row r="94" spans="1:9">
      <c r="A94" s="91">
        <v>91</v>
      </c>
      <c r="B94" s="91">
        <v>94.9</v>
      </c>
      <c r="C94" s="91">
        <v>25360</v>
      </c>
      <c r="D94" s="91">
        <v>3258</v>
      </c>
      <c r="E94" s="91">
        <v>54</v>
      </c>
      <c r="F94" s="91">
        <v>123725</v>
      </c>
      <c r="G94" s="91">
        <v>39476</v>
      </c>
      <c r="H94" s="91">
        <v>2087</v>
      </c>
      <c r="I94" s="91">
        <v>7.2</v>
      </c>
    </row>
    <row r="95" spans="1:9">
      <c r="A95" s="91">
        <v>92</v>
      </c>
      <c r="B95" s="91">
        <v>94.5</v>
      </c>
      <c r="C95" s="91">
        <v>22075</v>
      </c>
      <c r="D95" s="91">
        <v>2331</v>
      </c>
      <c r="E95" s="91">
        <v>50</v>
      </c>
      <c r="F95" s="91">
        <v>58383</v>
      </c>
      <c r="G95" s="91">
        <v>29579</v>
      </c>
      <c r="H95" s="91">
        <v>839</v>
      </c>
      <c r="I95" s="91">
        <v>10.6</v>
      </c>
    </row>
    <row r="96" spans="1:9">
      <c r="A96" s="91">
        <v>93</v>
      </c>
      <c r="B96" s="91">
        <v>95.6</v>
      </c>
      <c r="C96" s="91">
        <v>21063</v>
      </c>
      <c r="D96" s="91">
        <v>2267</v>
      </c>
      <c r="E96" s="91">
        <v>62</v>
      </c>
      <c r="F96" s="91">
        <v>68348</v>
      </c>
      <c r="G96" s="91">
        <v>32778</v>
      </c>
      <c r="H96" s="91">
        <v>1801</v>
      </c>
      <c r="I96" s="91">
        <v>3.9</v>
      </c>
    </row>
    <row r="97" spans="1:9">
      <c r="A97" s="91">
        <v>94</v>
      </c>
      <c r="B97" s="91">
        <v>95.5</v>
      </c>
      <c r="C97" s="91">
        <v>21658</v>
      </c>
      <c r="D97" s="91">
        <v>2513</v>
      </c>
      <c r="E97" s="91">
        <v>59</v>
      </c>
      <c r="F97" s="91">
        <v>51497</v>
      </c>
      <c r="G97" s="91">
        <v>30968</v>
      </c>
      <c r="H97" s="91">
        <v>915</v>
      </c>
      <c r="I97" s="91">
        <v>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EE731-2F3A-4084-85E0-BFF22DBEA286}">
  <dimension ref="A1:F85"/>
  <sheetViews>
    <sheetView topLeftCell="A76" workbookViewId="0">
      <selection activeCell="F85" sqref="F85"/>
    </sheetView>
  </sheetViews>
  <sheetFormatPr defaultRowHeight="15"/>
  <sheetData>
    <row r="1" spans="1:6">
      <c r="A1" t="s">
        <v>756</v>
      </c>
    </row>
    <row r="2" spans="1:6">
      <c r="A2" t="s">
        <v>757</v>
      </c>
    </row>
    <row r="4" spans="1:6">
      <c r="A4" t="s">
        <v>758</v>
      </c>
      <c r="B4" t="s">
        <v>759</v>
      </c>
      <c r="C4" t="s">
        <v>760</v>
      </c>
      <c r="D4" t="s">
        <v>761</v>
      </c>
      <c r="E4" t="s">
        <v>762</v>
      </c>
      <c r="F4" t="s">
        <v>763</v>
      </c>
    </row>
    <row r="5" spans="1:6">
      <c r="A5">
        <v>49</v>
      </c>
      <c r="B5">
        <v>65.400000000000006</v>
      </c>
      <c r="C5">
        <v>53.700681400000001</v>
      </c>
      <c r="D5">
        <v>89</v>
      </c>
      <c r="E5">
        <v>17.5</v>
      </c>
      <c r="F5">
        <v>96</v>
      </c>
    </row>
    <row r="6" spans="1:6">
      <c r="A6">
        <v>55</v>
      </c>
      <c r="B6">
        <v>56</v>
      </c>
      <c r="C6">
        <v>50.013401199999997</v>
      </c>
      <c r="D6">
        <v>92</v>
      </c>
      <c r="E6">
        <v>20</v>
      </c>
      <c r="F6">
        <v>97</v>
      </c>
    </row>
    <row r="7" spans="1:6">
      <c r="A7">
        <v>55</v>
      </c>
      <c r="B7">
        <v>55.9</v>
      </c>
      <c r="C7">
        <v>50.013401199999997</v>
      </c>
      <c r="D7">
        <v>92</v>
      </c>
      <c r="E7">
        <v>20</v>
      </c>
      <c r="F7">
        <v>97</v>
      </c>
    </row>
    <row r="8" spans="1:6">
      <c r="A8">
        <v>70</v>
      </c>
      <c r="B8">
        <v>49</v>
      </c>
      <c r="C8">
        <v>45.6963224</v>
      </c>
      <c r="D8">
        <v>92</v>
      </c>
      <c r="E8">
        <v>20</v>
      </c>
      <c r="F8">
        <v>105</v>
      </c>
    </row>
    <row r="9" spans="1:6">
      <c r="A9">
        <v>53</v>
      </c>
      <c r="B9">
        <v>46.5</v>
      </c>
      <c r="C9">
        <v>50.504231799999999</v>
      </c>
      <c r="D9">
        <v>92</v>
      </c>
      <c r="E9">
        <v>20</v>
      </c>
      <c r="F9">
        <v>96</v>
      </c>
    </row>
    <row r="10" spans="1:6">
      <c r="A10">
        <v>70</v>
      </c>
      <c r="B10">
        <v>46.2</v>
      </c>
      <c r="C10">
        <v>45.6963224</v>
      </c>
      <c r="D10">
        <v>89</v>
      </c>
      <c r="E10">
        <v>20</v>
      </c>
      <c r="F10">
        <v>105</v>
      </c>
    </row>
    <row r="11" spans="1:6">
      <c r="A11">
        <v>55</v>
      </c>
      <c r="B11">
        <v>45.4</v>
      </c>
      <c r="C11">
        <v>50.013401199999997</v>
      </c>
      <c r="D11">
        <v>92</v>
      </c>
      <c r="E11">
        <v>20</v>
      </c>
      <c r="F11">
        <v>97</v>
      </c>
    </row>
    <row r="12" spans="1:6">
      <c r="A12">
        <v>62</v>
      </c>
      <c r="B12">
        <v>59.2</v>
      </c>
      <c r="C12">
        <v>46.716554299999999</v>
      </c>
      <c r="D12">
        <v>50</v>
      </c>
      <c r="E12">
        <v>22.5</v>
      </c>
      <c r="F12">
        <v>98</v>
      </c>
    </row>
    <row r="13" spans="1:6">
      <c r="A13">
        <v>62</v>
      </c>
      <c r="B13">
        <v>53.3</v>
      </c>
      <c r="C13">
        <v>46.716554299999999</v>
      </c>
      <c r="D13">
        <v>50</v>
      </c>
      <c r="E13">
        <v>22.5</v>
      </c>
      <c r="F13">
        <v>98</v>
      </c>
    </row>
    <row r="14" spans="1:6">
      <c r="A14">
        <v>80</v>
      </c>
      <c r="B14">
        <v>43.4</v>
      </c>
      <c r="C14">
        <v>42.299078199999997</v>
      </c>
      <c r="D14">
        <v>94</v>
      </c>
      <c r="E14">
        <v>22.5</v>
      </c>
      <c r="F14">
        <v>107</v>
      </c>
    </row>
    <row r="15" spans="1:6">
      <c r="A15">
        <v>73</v>
      </c>
      <c r="B15">
        <v>41.1</v>
      </c>
      <c r="C15">
        <v>44.652834200000001</v>
      </c>
      <c r="D15">
        <v>89</v>
      </c>
      <c r="E15">
        <v>22.5</v>
      </c>
      <c r="F15">
        <v>103</v>
      </c>
    </row>
    <row r="16" spans="1:6">
      <c r="A16">
        <v>92</v>
      </c>
      <c r="B16">
        <v>40.9</v>
      </c>
      <c r="C16">
        <v>39.354094099999998</v>
      </c>
      <c r="D16">
        <v>50</v>
      </c>
      <c r="E16">
        <v>22.5</v>
      </c>
      <c r="F16">
        <v>113</v>
      </c>
    </row>
    <row r="17" spans="1:6">
      <c r="A17">
        <v>92</v>
      </c>
      <c r="B17">
        <v>40.9</v>
      </c>
      <c r="C17">
        <v>39.354094099999998</v>
      </c>
      <c r="D17">
        <v>99</v>
      </c>
      <c r="E17">
        <v>22.5</v>
      </c>
      <c r="F17">
        <v>113</v>
      </c>
    </row>
    <row r="18" spans="1:6">
      <c r="A18">
        <v>73</v>
      </c>
      <c r="B18">
        <v>40.4</v>
      </c>
      <c r="C18">
        <v>44.652834200000001</v>
      </c>
      <c r="D18">
        <v>89</v>
      </c>
      <c r="E18">
        <v>22.5</v>
      </c>
      <c r="F18">
        <v>103</v>
      </c>
    </row>
    <row r="19" spans="1:6">
      <c r="A19">
        <v>66</v>
      </c>
      <c r="B19">
        <v>39.6</v>
      </c>
      <c r="C19">
        <v>45.734892899999998</v>
      </c>
      <c r="D19">
        <v>89</v>
      </c>
      <c r="E19">
        <v>22.5</v>
      </c>
      <c r="F19">
        <v>100</v>
      </c>
    </row>
    <row r="20" spans="1:6">
      <c r="A20">
        <v>73</v>
      </c>
      <c r="B20">
        <v>39.299999999999997</v>
      </c>
      <c r="C20">
        <v>44.652834200000001</v>
      </c>
      <c r="D20">
        <v>89</v>
      </c>
      <c r="E20">
        <v>22.5</v>
      </c>
      <c r="F20">
        <v>103</v>
      </c>
    </row>
    <row r="21" spans="1:6">
      <c r="A21">
        <v>78</v>
      </c>
      <c r="B21">
        <v>38.9</v>
      </c>
      <c r="C21">
        <v>42.7899089</v>
      </c>
      <c r="D21">
        <v>91</v>
      </c>
      <c r="E21">
        <v>22.5</v>
      </c>
      <c r="F21">
        <v>106</v>
      </c>
    </row>
    <row r="22" spans="1:6">
      <c r="A22">
        <v>92</v>
      </c>
      <c r="B22">
        <v>38.799999999999997</v>
      </c>
      <c r="C22">
        <v>39.354094099999998</v>
      </c>
      <c r="D22">
        <v>50</v>
      </c>
      <c r="E22">
        <v>22.5</v>
      </c>
      <c r="F22">
        <v>113</v>
      </c>
    </row>
    <row r="23" spans="1:6">
      <c r="A23">
        <v>78</v>
      </c>
      <c r="B23">
        <v>38.200000000000003</v>
      </c>
      <c r="C23">
        <v>42.7899089</v>
      </c>
      <c r="D23">
        <v>91</v>
      </c>
      <c r="E23">
        <v>22.5</v>
      </c>
      <c r="F23">
        <v>106</v>
      </c>
    </row>
    <row r="24" spans="1:6">
      <c r="A24">
        <v>90</v>
      </c>
      <c r="B24">
        <v>42.2</v>
      </c>
      <c r="C24">
        <v>38.901834000000001</v>
      </c>
      <c r="D24">
        <v>103</v>
      </c>
      <c r="E24">
        <v>25</v>
      </c>
      <c r="F24">
        <v>109</v>
      </c>
    </row>
    <row r="25" spans="1:6">
      <c r="A25">
        <v>92</v>
      </c>
      <c r="B25">
        <v>40.9</v>
      </c>
      <c r="C25">
        <v>38.411003299999997</v>
      </c>
      <c r="D25">
        <v>99</v>
      </c>
      <c r="E25">
        <v>25</v>
      </c>
      <c r="F25">
        <v>110</v>
      </c>
    </row>
    <row r="26" spans="1:6">
      <c r="A26">
        <v>74</v>
      </c>
      <c r="B26">
        <v>40.700000000000003</v>
      </c>
      <c r="C26">
        <v>42.828479399999999</v>
      </c>
      <c r="D26">
        <v>107</v>
      </c>
      <c r="E26">
        <v>25</v>
      </c>
      <c r="F26">
        <v>101</v>
      </c>
    </row>
    <row r="27" spans="1:6">
      <c r="A27">
        <v>95</v>
      </c>
      <c r="B27">
        <v>40</v>
      </c>
      <c r="C27">
        <v>38.310606</v>
      </c>
      <c r="D27">
        <v>101</v>
      </c>
      <c r="E27">
        <v>25</v>
      </c>
      <c r="F27">
        <v>111</v>
      </c>
    </row>
    <row r="28" spans="1:6">
      <c r="A28">
        <v>81</v>
      </c>
      <c r="B28">
        <v>39.299999999999997</v>
      </c>
      <c r="C28">
        <v>40.474723300000001</v>
      </c>
      <c r="D28">
        <v>96</v>
      </c>
      <c r="E28">
        <v>25</v>
      </c>
      <c r="F28">
        <v>105</v>
      </c>
    </row>
    <row r="29" spans="1:6">
      <c r="A29">
        <v>95</v>
      </c>
      <c r="B29">
        <v>38.799999999999997</v>
      </c>
      <c r="C29">
        <v>38.310606</v>
      </c>
      <c r="D29">
        <v>89</v>
      </c>
      <c r="E29">
        <v>25</v>
      </c>
      <c r="F29">
        <v>111</v>
      </c>
    </row>
    <row r="30" spans="1:6">
      <c r="A30">
        <v>92</v>
      </c>
      <c r="B30">
        <v>38.4</v>
      </c>
      <c r="C30">
        <v>38.411003299999997</v>
      </c>
      <c r="D30">
        <v>50</v>
      </c>
      <c r="E30">
        <v>25</v>
      </c>
      <c r="F30">
        <v>110</v>
      </c>
    </row>
    <row r="31" spans="1:6">
      <c r="A31">
        <v>92</v>
      </c>
      <c r="B31">
        <v>38.4</v>
      </c>
      <c r="C31">
        <v>38.411003299999997</v>
      </c>
      <c r="D31">
        <v>117</v>
      </c>
      <c r="E31">
        <v>25</v>
      </c>
      <c r="F31">
        <v>110</v>
      </c>
    </row>
    <row r="32" spans="1:6">
      <c r="A32">
        <v>92</v>
      </c>
      <c r="B32">
        <v>38.4</v>
      </c>
      <c r="C32">
        <v>38.411003299999997</v>
      </c>
      <c r="D32">
        <v>99</v>
      </c>
      <c r="E32">
        <v>25</v>
      </c>
      <c r="F32">
        <v>110</v>
      </c>
    </row>
    <row r="33" spans="1:6">
      <c r="A33">
        <v>52</v>
      </c>
      <c r="B33">
        <v>46.9</v>
      </c>
      <c r="C33">
        <v>43.469433899999999</v>
      </c>
      <c r="D33">
        <v>104</v>
      </c>
      <c r="E33">
        <v>27.5</v>
      </c>
      <c r="F33">
        <v>90</v>
      </c>
    </row>
    <row r="34" spans="1:6">
      <c r="A34">
        <v>103</v>
      </c>
      <c r="B34">
        <v>36.299999999999997</v>
      </c>
      <c r="C34">
        <v>35.404192399999999</v>
      </c>
      <c r="D34">
        <v>107</v>
      </c>
      <c r="E34">
        <v>27.5</v>
      </c>
      <c r="F34">
        <v>112</v>
      </c>
    </row>
    <row r="35" spans="1:6">
      <c r="A35">
        <v>84</v>
      </c>
      <c r="B35">
        <v>36.1</v>
      </c>
      <c r="C35">
        <v>39.431235200000003</v>
      </c>
      <c r="D35">
        <v>114</v>
      </c>
      <c r="E35">
        <v>27.5</v>
      </c>
      <c r="F35">
        <v>103</v>
      </c>
    </row>
    <row r="36" spans="1:6">
      <c r="A36">
        <v>84</v>
      </c>
      <c r="B36">
        <v>36.1</v>
      </c>
      <c r="C36">
        <v>39.431235200000003</v>
      </c>
      <c r="D36">
        <v>101</v>
      </c>
      <c r="E36">
        <v>27.5</v>
      </c>
      <c r="F36">
        <v>103</v>
      </c>
    </row>
    <row r="37" spans="1:6">
      <c r="A37">
        <v>102</v>
      </c>
      <c r="B37">
        <v>35.4</v>
      </c>
      <c r="C37">
        <v>36.285456500000002</v>
      </c>
      <c r="D37">
        <v>97</v>
      </c>
      <c r="E37">
        <v>27.5</v>
      </c>
      <c r="F37">
        <v>111</v>
      </c>
    </row>
    <row r="38" spans="1:6">
      <c r="A38">
        <v>102</v>
      </c>
      <c r="B38">
        <v>35.299999999999997</v>
      </c>
      <c r="C38">
        <v>36.285456500000002</v>
      </c>
      <c r="D38">
        <v>113</v>
      </c>
      <c r="E38">
        <v>27.5</v>
      </c>
      <c r="F38">
        <v>111</v>
      </c>
    </row>
    <row r="39" spans="1:6">
      <c r="A39">
        <v>81</v>
      </c>
      <c r="B39">
        <v>35.1</v>
      </c>
      <c r="C39">
        <v>39.531632500000001</v>
      </c>
      <c r="D39">
        <v>101</v>
      </c>
      <c r="E39">
        <v>27.5</v>
      </c>
      <c r="F39">
        <v>102</v>
      </c>
    </row>
    <row r="40" spans="1:6">
      <c r="A40">
        <v>90</v>
      </c>
      <c r="B40">
        <v>35.1</v>
      </c>
      <c r="C40">
        <v>37.958743200000001</v>
      </c>
      <c r="D40">
        <v>98</v>
      </c>
      <c r="E40">
        <v>27.5</v>
      </c>
      <c r="F40">
        <v>106</v>
      </c>
    </row>
    <row r="41" spans="1:6">
      <c r="A41">
        <v>90</v>
      </c>
      <c r="B41">
        <v>35</v>
      </c>
      <c r="C41">
        <v>37.958743200000001</v>
      </c>
      <c r="D41">
        <v>88</v>
      </c>
      <c r="E41">
        <v>27.5</v>
      </c>
      <c r="F41">
        <v>106</v>
      </c>
    </row>
    <row r="42" spans="1:6">
      <c r="A42">
        <v>102</v>
      </c>
      <c r="B42">
        <v>33.200000000000003</v>
      </c>
      <c r="C42">
        <v>34.070668300000001</v>
      </c>
      <c r="D42">
        <v>86</v>
      </c>
      <c r="E42">
        <v>30</v>
      </c>
      <c r="F42">
        <v>109</v>
      </c>
    </row>
    <row r="43" spans="1:6">
      <c r="A43">
        <v>102</v>
      </c>
      <c r="B43">
        <v>32.9</v>
      </c>
      <c r="C43">
        <v>34.070668300000001</v>
      </c>
      <c r="D43">
        <v>86</v>
      </c>
      <c r="E43">
        <v>30</v>
      </c>
      <c r="F43">
        <v>109</v>
      </c>
    </row>
    <row r="44" spans="1:6">
      <c r="A44">
        <v>130</v>
      </c>
      <c r="B44">
        <v>32.299999999999997</v>
      </c>
      <c r="C44">
        <v>31.014130900000001</v>
      </c>
      <c r="D44">
        <v>92</v>
      </c>
      <c r="E44">
        <v>30</v>
      </c>
      <c r="F44">
        <v>120</v>
      </c>
    </row>
    <row r="45" spans="1:6">
      <c r="A45">
        <v>95</v>
      </c>
      <c r="B45">
        <v>32.200000000000003</v>
      </c>
      <c r="C45">
        <v>35.152726999999999</v>
      </c>
      <c r="D45">
        <v>113</v>
      </c>
      <c r="E45">
        <v>30</v>
      </c>
      <c r="F45">
        <v>106</v>
      </c>
    </row>
    <row r="46" spans="1:6">
      <c r="A46">
        <v>95</v>
      </c>
      <c r="B46">
        <v>32.200000000000003</v>
      </c>
      <c r="C46">
        <v>35.152726999999999</v>
      </c>
      <c r="D46">
        <v>106</v>
      </c>
      <c r="E46">
        <v>30</v>
      </c>
      <c r="F46">
        <v>106</v>
      </c>
    </row>
    <row r="47" spans="1:6">
      <c r="A47">
        <v>102</v>
      </c>
      <c r="B47">
        <v>32.200000000000003</v>
      </c>
      <c r="C47">
        <v>34.070668300000001</v>
      </c>
      <c r="D47">
        <v>92</v>
      </c>
      <c r="E47">
        <v>30</v>
      </c>
      <c r="F47">
        <v>109</v>
      </c>
    </row>
    <row r="48" spans="1:6">
      <c r="A48">
        <v>95</v>
      </c>
      <c r="B48">
        <v>32.200000000000003</v>
      </c>
      <c r="C48">
        <v>35.152726999999999</v>
      </c>
      <c r="D48">
        <v>88</v>
      </c>
      <c r="E48">
        <v>30</v>
      </c>
      <c r="F48">
        <v>106</v>
      </c>
    </row>
    <row r="49" spans="1:6">
      <c r="A49">
        <v>93</v>
      </c>
      <c r="B49">
        <v>31.5</v>
      </c>
      <c r="C49">
        <v>35.643557600000001</v>
      </c>
      <c r="D49">
        <v>102</v>
      </c>
      <c r="E49">
        <v>30</v>
      </c>
      <c r="F49">
        <v>105</v>
      </c>
    </row>
    <row r="50" spans="1:6">
      <c r="A50">
        <v>100</v>
      </c>
      <c r="B50">
        <v>31.5</v>
      </c>
      <c r="C50">
        <v>34.561498999999998</v>
      </c>
      <c r="D50">
        <v>99</v>
      </c>
      <c r="E50">
        <v>30</v>
      </c>
      <c r="F50">
        <v>108</v>
      </c>
    </row>
    <row r="51" spans="1:6">
      <c r="A51">
        <v>100</v>
      </c>
      <c r="B51">
        <v>31.4</v>
      </c>
      <c r="C51">
        <v>34.561498999999998</v>
      </c>
      <c r="D51">
        <v>111</v>
      </c>
      <c r="E51">
        <v>30</v>
      </c>
      <c r="F51">
        <v>108</v>
      </c>
    </row>
    <row r="52" spans="1:6">
      <c r="A52">
        <v>98</v>
      </c>
      <c r="B52">
        <v>31.4</v>
      </c>
      <c r="C52">
        <v>35.0523296</v>
      </c>
      <c r="D52">
        <v>103</v>
      </c>
      <c r="E52">
        <v>30</v>
      </c>
      <c r="F52">
        <v>107</v>
      </c>
    </row>
    <row r="53" spans="1:6">
      <c r="A53">
        <v>130</v>
      </c>
      <c r="B53">
        <v>31.2</v>
      </c>
      <c r="C53">
        <v>31.014130900000001</v>
      </c>
      <c r="D53">
        <v>86</v>
      </c>
      <c r="E53">
        <v>30</v>
      </c>
      <c r="F53">
        <v>120</v>
      </c>
    </row>
    <row r="54" spans="1:6">
      <c r="A54">
        <v>115</v>
      </c>
      <c r="B54">
        <v>33.700000000000003</v>
      </c>
      <c r="C54">
        <v>29.629936000000001</v>
      </c>
      <c r="D54">
        <v>101</v>
      </c>
      <c r="E54">
        <v>35</v>
      </c>
      <c r="F54">
        <v>109</v>
      </c>
    </row>
    <row r="55" spans="1:6">
      <c r="A55">
        <v>115</v>
      </c>
      <c r="B55">
        <v>32.6</v>
      </c>
      <c r="C55">
        <v>29.629936000000001</v>
      </c>
      <c r="D55">
        <v>101</v>
      </c>
      <c r="E55">
        <v>35</v>
      </c>
      <c r="F55">
        <v>109</v>
      </c>
    </row>
    <row r="56" spans="1:6">
      <c r="A56">
        <v>115</v>
      </c>
      <c r="B56">
        <v>31.3</v>
      </c>
      <c r="C56">
        <v>29.629936000000001</v>
      </c>
      <c r="D56">
        <v>101</v>
      </c>
      <c r="E56">
        <v>35</v>
      </c>
      <c r="F56">
        <v>109</v>
      </c>
    </row>
    <row r="57" spans="1:6">
      <c r="A57">
        <v>115</v>
      </c>
      <c r="B57">
        <v>31.3</v>
      </c>
      <c r="C57">
        <v>29.629936000000001</v>
      </c>
      <c r="D57">
        <v>124</v>
      </c>
      <c r="E57">
        <v>35</v>
      </c>
      <c r="F57">
        <v>109</v>
      </c>
    </row>
    <row r="58" spans="1:6">
      <c r="A58">
        <v>180</v>
      </c>
      <c r="B58">
        <v>30.4</v>
      </c>
      <c r="C58">
        <v>24.487366699999999</v>
      </c>
      <c r="D58">
        <v>113</v>
      </c>
      <c r="E58">
        <v>35</v>
      </c>
      <c r="F58">
        <v>133</v>
      </c>
    </row>
    <row r="59" spans="1:6">
      <c r="A59">
        <v>160</v>
      </c>
      <c r="B59">
        <v>28.9</v>
      </c>
      <c r="C59">
        <v>26.852278699999999</v>
      </c>
      <c r="D59">
        <v>113</v>
      </c>
      <c r="E59">
        <v>35</v>
      </c>
      <c r="F59">
        <v>125</v>
      </c>
    </row>
    <row r="60" spans="1:6">
      <c r="A60">
        <v>130</v>
      </c>
      <c r="B60">
        <v>28</v>
      </c>
      <c r="C60">
        <v>27.8562519</v>
      </c>
      <c r="D60">
        <v>124</v>
      </c>
      <c r="E60">
        <v>35</v>
      </c>
      <c r="F60">
        <v>115</v>
      </c>
    </row>
    <row r="61" spans="1:6">
      <c r="A61">
        <v>96</v>
      </c>
      <c r="B61">
        <v>28</v>
      </c>
      <c r="C61">
        <v>31.113583899999998</v>
      </c>
      <c r="D61">
        <v>92</v>
      </c>
      <c r="E61">
        <v>35</v>
      </c>
      <c r="F61">
        <v>102</v>
      </c>
    </row>
    <row r="62" spans="1:6">
      <c r="A62">
        <v>115</v>
      </c>
      <c r="B62">
        <v>28</v>
      </c>
      <c r="C62">
        <v>29.629936000000001</v>
      </c>
      <c r="D62">
        <v>101</v>
      </c>
      <c r="E62">
        <v>35</v>
      </c>
      <c r="F62">
        <v>109</v>
      </c>
    </row>
    <row r="63" spans="1:6">
      <c r="A63">
        <v>100</v>
      </c>
      <c r="B63">
        <v>28</v>
      </c>
      <c r="C63">
        <v>30.131922599999999</v>
      </c>
      <c r="D63">
        <v>94</v>
      </c>
      <c r="E63">
        <v>35</v>
      </c>
      <c r="F63">
        <v>104</v>
      </c>
    </row>
    <row r="64" spans="1:6">
      <c r="A64">
        <v>100</v>
      </c>
      <c r="B64">
        <v>28</v>
      </c>
      <c r="C64">
        <v>28.860225199999999</v>
      </c>
      <c r="D64">
        <v>115</v>
      </c>
      <c r="E64">
        <v>35</v>
      </c>
      <c r="F64">
        <v>105</v>
      </c>
    </row>
    <row r="65" spans="1:6">
      <c r="A65">
        <v>145</v>
      </c>
      <c r="B65">
        <v>27.7</v>
      </c>
      <c r="C65">
        <v>27.354265300000002</v>
      </c>
      <c r="D65">
        <v>111</v>
      </c>
      <c r="E65">
        <v>35</v>
      </c>
      <c r="F65">
        <v>120</v>
      </c>
    </row>
    <row r="66" spans="1:6">
      <c r="A66">
        <v>120</v>
      </c>
      <c r="B66">
        <v>25.6</v>
      </c>
      <c r="C66">
        <v>24.609131600000001</v>
      </c>
      <c r="D66">
        <v>116</v>
      </c>
      <c r="E66">
        <v>40</v>
      </c>
      <c r="F66">
        <v>107</v>
      </c>
    </row>
    <row r="67" spans="1:6">
      <c r="A67">
        <v>140</v>
      </c>
      <c r="B67">
        <v>25.3</v>
      </c>
      <c r="C67">
        <v>23.515916900000001</v>
      </c>
      <c r="D67">
        <v>131</v>
      </c>
      <c r="E67">
        <v>40</v>
      </c>
      <c r="F67">
        <v>114</v>
      </c>
    </row>
    <row r="68" spans="1:6">
      <c r="A68">
        <v>140</v>
      </c>
      <c r="B68">
        <v>23.9</v>
      </c>
      <c r="C68">
        <v>23.515916900000001</v>
      </c>
      <c r="D68">
        <v>123</v>
      </c>
      <c r="E68">
        <v>40</v>
      </c>
      <c r="F68">
        <v>114</v>
      </c>
    </row>
    <row r="69" spans="1:6">
      <c r="A69">
        <v>150</v>
      </c>
      <c r="B69">
        <v>23.6</v>
      </c>
      <c r="C69">
        <v>23.605158299999999</v>
      </c>
      <c r="D69">
        <v>121</v>
      </c>
      <c r="E69">
        <v>40</v>
      </c>
      <c r="F69">
        <v>117</v>
      </c>
    </row>
    <row r="70" spans="1:6">
      <c r="A70">
        <v>165</v>
      </c>
      <c r="B70">
        <v>23.6</v>
      </c>
      <c r="C70">
        <v>23.103171700000001</v>
      </c>
      <c r="D70">
        <v>50</v>
      </c>
      <c r="E70">
        <v>40</v>
      </c>
      <c r="F70">
        <v>122</v>
      </c>
    </row>
    <row r="71" spans="1:6">
      <c r="A71">
        <v>165</v>
      </c>
      <c r="B71">
        <v>23.6</v>
      </c>
      <c r="C71">
        <v>23.103171700000001</v>
      </c>
      <c r="D71">
        <v>114</v>
      </c>
      <c r="E71">
        <v>40</v>
      </c>
      <c r="F71">
        <v>122</v>
      </c>
    </row>
    <row r="72" spans="1:6">
      <c r="A72">
        <v>165</v>
      </c>
      <c r="B72">
        <v>23.6</v>
      </c>
      <c r="C72">
        <v>23.103171700000001</v>
      </c>
      <c r="D72">
        <v>127</v>
      </c>
      <c r="E72">
        <v>40</v>
      </c>
      <c r="F72">
        <v>122</v>
      </c>
    </row>
    <row r="73" spans="1:6">
      <c r="A73">
        <v>165</v>
      </c>
      <c r="B73">
        <v>23.6</v>
      </c>
      <c r="C73">
        <v>23.103171700000001</v>
      </c>
      <c r="D73">
        <v>123</v>
      </c>
      <c r="E73">
        <v>40</v>
      </c>
      <c r="F73">
        <v>122</v>
      </c>
    </row>
    <row r="74" spans="1:6">
      <c r="A74">
        <v>245</v>
      </c>
      <c r="B74">
        <v>23.5</v>
      </c>
      <c r="C74">
        <v>21.273707900000002</v>
      </c>
      <c r="D74">
        <v>112</v>
      </c>
      <c r="E74">
        <v>40</v>
      </c>
      <c r="F74">
        <v>148</v>
      </c>
    </row>
    <row r="75" spans="1:6">
      <c r="A75">
        <v>280</v>
      </c>
      <c r="B75">
        <v>23.4</v>
      </c>
      <c r="C75">
        <v>19.6785067</v>
      </c>
      <c r="D75">
        <v>50</v>
      </c>
      <c r="E75">
        <v>40</v>
      </c>
      <c r="F75">
        <v>160</v>
      </c>
    </row>
    <row r="76" spans="1:6">
      <c r="A76">
        <v>162</v>
      </c>
      <c r="B76">
        <v>23.4</v>
      </c>
      <c r="C76">
        <v>23.203569000000002</v>
      </c>
      <c r="D76">
        <v>135</v>
      </c>
      <c r="E76">
        <v>40</v>
      </c>
      <c r="F76">
        <v>121</v>
      </c>
    </row>
    <row r="77" spans="1:6">
      <c r="A77">
        <v>162</v>
      </c>
      <c r="B77">
        <v>23.1</v>
      </c>
      <c r="C77">
        <v>23.203569000000002</v>
      </c>
      <c r="D77">
        <v>132</v>
      </c>
      <c r="E77">
        <v>40</v>
      </c>
      <c r="F77">
        <v>121</v>
      </c>
    </row>
    <row r="78" spans="1:6">
      <c r="A78">
        <v>140</v>
      </c>
      <c r="B78">
        <v>22.9</v>
      </c>
      <c r="C78">
        <v>19.086340499999999</v>
      </c>
      <c r="D78">
        <v>160</v>
      </c>
      <c r="E78">
        <v>45</v>
      </c>
      <c r="F78">
        <v>110</v>
      </c>
    </row>
    <row r="79" spans="1:6">
      <c r="A79">
        <v>140</v>
      </c>
      <c r="B79">
        <v>22.9</v>
      </c>
      <c r="C79">
        <v>19.086340499999999</v>
      </c>
      <c r="D79">
        <v>129</v>
      </c>
      <c r="E79">
        <v>45</v>
      </c>
      <c r="F79">
        <v>110</v>
      </c>
    </row>
    <row r="80" spans="1:6">
      <c r="A80">
        <v>175</v>
      </c>
      <c r="B80">
        <v>19.5</v>
      </c>
      <c r="C80">
        <v>18.762836700000001</v>
      </c>
      <c r="D80">
        <v>129</v>
      </c>
      <c r="E80">
        <v>45</v>
      </c>
      <c r="F80">
        <v>121</v>
      </c>
    </row>
    <row r="81" spans="1:6">
      <c r="A81">
        <v>322</v>
      </c>
      <c r="B81">
        <v>18.100000000000001</v>
      </c>
      <c r="C81">
        <v>20.201854600000001</v>
      </c>
      <c r="D81">
        <v>50</v>
      </c>
      <c r="E81">
        <v>45</v>
      </c>
      <c r="F81">
        <v>165</v>
      </c>
    </row>
    <row r="82" spans="1:6">
      <c r="A82">
        <v>238</v>
      </c>
      <c r="B82">
        <v>17.2</v>
      </c>
      <c r="C82">
        <v>19.197887600000001</v>
      </c>
      <c r="D82">
        <v>115</v>
      </c>
      <c r="E82">
        <v>45</v>
      </c>
      <c r="F82">
        <v>140</v>
      </c>
    </row>
    <row r="83" spans="1:6">
      <c r="A83">
        <v>263</v>
      </c>
      <c r="B83">
        <v>17</v>
      </c>
      <c r="C83">
        <v>20.056839700000001</v>
      </c>
      <c r="D83">
        <v>50</v>
      </c>
      <c r="E83">
        <v>45</v>
      </c>
      <c r="F83">
        <v>147</v>
      </c>
    </row>
    <row r="84" spans="1:6">
      <c r="A84">
        <v>295</v>
      </c>
      <c r="B84">
        <v>16.7</v>
      </c>
      <c r="C84">
        <v>19.833733200000001</v>
      </c>
      <c r="D84">
        <v>119</v>
      </c>
      <c r="E84">
        <v>45</v>
      </c>
      <c r="F84">
        <v>157</v>
      </c>
    </row>
    <row r="85" spans="1:6">
      <c r="A85">
        <v>236</v>
      </c>
      <c r="B85">
        <v>13.2</v>
      </c>
      <c r="C85">
        <v>12.1012629</v>
      </c>
      <c r="D85">
        <v>107</v>
      </c>
      <c r="E85">
        <v>55</v>
      </c>
      <c r="F85">
        <v>130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51256-3B91-4F66-B10A-BFDC50F812F8}">
  <dimension ref="A1:E17"/>
  <sheetViews>
    <sheetView workbookViewId="0">
      <selection activeCell="E15" sqref="E15"/>
    </sheetView>
  </sheetViews>
  <sheetFormatPr defaultRowHeight="15"/>
  <sheetData>
    <row r="1" spans="1:5">
      <c r="A1" t="s">
        <v>764</v>
      </c>
    </row>
    <row r="3" spans="1:5">
      <c r="A3" t="s">
        <v>765</v>
      </c>
    </row>
    <row r="5" spans="1:5">
      <c r="A5" t="s">
        <v>766</v>
      </c>
      <c r="B5" t="s">
        <v>63</v>
      </c>
      <c r="C5" t="s">
        <v>767</v>
      </c>
      <c r="D5" t="s">
        <v>768</v>
      </c>
      <c r="E5" t="s">
        <v>769</v>
      </c>
    </row>
    <row r="6" spans="1:5">
      <c r="A6" t="s">
        <v>770</v>
      </c>
      <c r="B6">
        <v>0.5</v>
      </c>
      <c r="C6">
        <v>0.25</v>
      </c>
      <c r="D6">
        <v>40</v>
      </c>
      <c r="E6">
        <v>101478</v>
      </c>
    </row>
    <row r="7" spans="1:5">
      <c r="A7" t="s">
        <v>771</v>
      </c>
      <c r="B7">
        <v>2.5</v>
      </c>
      <c r="C7">
        <v>6.25</v>
      </c>
      <c r="D7">
        <v>24</v>
      </c>
      <c r="E7">
        <v>102400</v>
      </c>
    </row>
    <row r="8" spans="1:5">
      <c r="A8" t="s">
        <v>772</v>
      </c>
      <c r="B8">
        <v>4.5</v>
      </c>
      <c r="C8">
        <v>20.25</v>
      </c>
      <c r="D8">
        <v>35</v>
      </c>
      <c r="E8">
        <v>124578</v>
      </c>
    </row>
    <row r="9" spans="1:5">
      <c r="A9" t="s">
        <v>773</v>
      </c>
      <c r="B9">
        <v>6.5</v>
      </c>
      <c r="C9">
        <v>42.25</v>
      </c>
      <c r="D9">
        <v>34</v>
      </c>
      <c r="E9">
        <v>122850</v>
      </c>
    </row>
    <row r="10" spans="1:5">
      <c r="A10" t="s">
        <v>774</v>
      </c>
      <c r="B10">
        <v>8.5</v>
      </c>
      <c r="C10">
        <v>72.25</v>
      </c>
      <c r="D10">
        <v>33</v>
      </c>
      <c r="E10">
        <v>116900</v>
      </c>
    </row>
    <row r="11" spans="1:5">
      <c r="A11" t="s">
        <v>775</v>
      </c>
      <c r="B11">
        <v>12</v>
      </c>
      <c r="C11">
        <v>144</v>
      </c>
      <c r="D11">
        <v>73</v>
      </c>
      <c r="E11">
        <v>119465</v>
      </c>
    </row>
    <row r="12" spans="1:5">
      <c r="A12" t="s">
        <v>776</v>
      </c>
      <c r="B12">
        <v>17</v>
      </c>
      <c r="C12">
        <v>289</v>
      </c>
      <c r="D12">
        <v>69</v>
      </c>
      <c r="E12">
        <v>114900</v>
      </c>
    </row>
    <row r="13" spans="1:5">
      <c r="A13" t="s">
        <v>777</v>
      </c>
      <c r="B13">
        <v>22</v>
      </c>
      <c r="C13">
        <v>484</v>
      </c>
      <c r="D13">
        <v>54</v>
      </c>
      <c r="E13">
        <v>129072</v>
      </c>
    </row>
    <row r="14" spans="1:5">
      <c r="A14" t="s">
        <v>778</v>
      </c>
      <c r="B14">
        <v>27.5</v>
      </c>
      <c r="C14">
        <v>756.25</v>
      </c>
      <c r="D14">
        <v>44</v>
      </c>
      <c r="E14">
        <v>131704</v>
      </c>
    </row>
    <row r="15" spans="1:5">
      <c r="A15" t="s">
        <v>779</v>
      </c>
      <c r="B15">
        <v>32</v>
      </c>
      <c r="C15">
        <v>1024</v>
      </c>
      <c r="D15">
        <v>25</v>
      </c>
      <c r="E15">
        <v>143000</v>
      </c>
    </row>
    <row r="17" spans="1:1">
      <c r="A17" t="s">
        <v>780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B540-0305-4E7B-BD2B-902A999E4520}">
  <dimension ref="A1:C30"/>
  <sheetViews>
    <sheetView topLeftCell="A19" workbookViewId="0">
      <selection activeCell="C30" sqref="C30"/>
    </sheetView>
  </sheetViews>
  <sheetFormatPr defaultRowHeight="15"/>
  <sheetData>
    <row r="1" spans="1:3">
      <c r="A1" s="92" t="s">
        <v>781</v>
      </c>
      <c r="B1" s="92"/>
      <c r="C1" s="92"/>
    </row>
    <row r="3" spans="1:3">
      <c r="A3" s="92" t="s">
        <v>782</v>
      </c>
      <c r="B3" s="92"/>
      <c r="C3" s="92"/>
    </row>
    <row r="4" spans="1:3">
      <c r="A4" s="92" t="s">
        <v>783</v>
      </c>
      <c r="B4" s="92"/>
      <c r="C4" s="92"/>
    </row>
    <row r="5" spans="1:3">
      <c r="A5" s="92" t="s">
        <v>784</v>
      </c>
      <c r="B5" s="92"/>
      <c r="C5" s="92"/>
    </row>
    <row r="6" spans="1:3">
      <c r="A6" s="92" t="s">
        <v>785</v>
      </c>
      <c r="B6" s="92"/>
      <c r="C6" s="92"/>
    </row>
    <row r="7" spans="1:3">
      <c r="A7" s="92" t="s">
        <v>786</v>
      </c>
      <c r="B7" s="92"/>
      <c r="C7" s="92"/>
    </row>
    <row r="8" spans="1:3">
      <c r="A8" s="92" t="s">
        <v>787</v>
      </c>
      <c r="B8" s="92"/>
      <c r="C8" s="92"/>
    </row>
    <row r="10" spans="1:3">
      <c r="A10" s="92" t="s">
        <v>222</v>
      </c>
      <c r="B10" s="93" t="s">
        <v>92</v>
      </c>
      <c r="C10" s="93" t="s">
        <v>93</v>
      </c>
    </row>
    <row r="11" spans="1:3">
      <c r="A11" s="92" t="s">
        <v>151</v>
      </c>
      <c r="B11" s="93">
        <v>5</v>
      </c>
      <c r="C11" s="93">
        <v>4.3</v>
      </c>
    </row>
    <row r="12" spans="1:3">
      <c r="A12" s="92" t="s">
        <v>422</v>
      </c>
      <c r="B12" s="93">
        <v>11.1</v>
      </c>
      <c r="C12" s="93">
        <v>4.5999999999999996</v>
      </c>
    </row>
    <row r="13" spans="1:3">
      <c r="A13" s="92" t="s">
        <v>152</v>
      </c>
      <c r="B13" s="93">
        <v>3.2</v>
      </c>
      <c r="C13" s="93">
        <v>2.4</v>
      </c>
    </row>
    <row r="14" spans="1:3">
      <c r="A14" s="92" t="s">
        <v>65</v>
      </c>
      <c r="B14" s="93">
        <v>7.9</v>
      </c>
      <c r="C14" s="93">
        <v>2.4</v>
      </c>
    </row>
    <row r="15" spans="1:3">
      <c r="A15" s="92" t="s">
        <v>235</v>
      </c>
      <c r="B15" s="93">
        <v>25.5</v>
      </c>
      <c r="C15" s="93">
        <v>26.4</v>
      </c>
    </row>
    <row r="16" spans="1:3">
      <c r="A16" s="92" t="s">
        <v>240</v>
      </c>
      <c r="B16" s="93">
        <v>3.8</v>
      </c>
      <c r="C16" s="93">
        <v>4.2</v>
      </c>
    </row>
    <row r="17" spans="1:3">
      <c r="A17" s="92" t="s">
        <v>423</v>
      </c>
      <c r="B17" s="93">
        <v>11.1</v>
      </c>
      <c r="C17" s="93">
        <v>5.5</v>
      </c>
    </row>
    <row r="18" spans="1:3">
      <c r="A18" s="92" t="s">
        <v>67</v>
      </c>
      <c r="B18" s="93">
        <v>9.9</v>
      </c>
      <c r="C18" s="93">
        <v>4.7</v>
      </c>
    </row>
    <row r="19" spans="1:3">
      <c r="A19" s="92" t="s">
        <v>788</v>
      </c>
      <c r="B19" s="93">
        <v>3.3</v>
      </c>
      <c r="C19" s="93">
        <v>2.2000000000000002</v>
      </c>
    </row>
    <row r="20" spans="1:3">
      <c r="A20" s="92" t="s">
        <v>163</v>
      </c>
      <c r="B20" s="93">
        <v>1.5</v>
      </c>
      <c r="C20" s="93">
        <v>4</v>
      </c>
    </row>
    <row r="21" spans="1:3">
      <c r="A21" s="92" t="s">
        <v>424</v>
      </c>
      <c r="B21" s="93">
        <v>6.4</v>
      </c>
      <c r="C21" s="93">
        <v>4</v>
      </c>
    </row>
    <row r="22" spans="1:3">
      <c r="A22" s="92" t="s">
        <v>789</v>
      </c>
      <c r="B22" s="93">
        <v>8.9</v>
      </c>
      <c r="C22" s="93">
        <v>8.4</v>
      </c>
    </row>
    <row r="23" spans="1:3">
      <c r="A23" s="92" t="s">
        <v>69</v>
      </c>
      <c r="B23" s="93">
        <v>8.1</v>
      </c>
      <c r="C23" s="93">
        <v>3.3</v>
      </c>
    </row>
    <row r="24" spans="1:3">
      <c r="A24" s="92" t="s">
        <v>66</v>
      </c>
      <c r="B24" s="93">
        <v>13.5</v>
      </c>
      <c r="C24" s="93">
        <v>4.7</v>
      </c>
    </row>
    <row r="25" spans="1:3">
      <c r="A25" s="92" t="s">
        <v>165</v>
      </c>
      <c r="B25" s="93">
        <v>4.7</v>
      </c>
      <c r="C25" s="93">
        <v>5.2</v>
      </c>
    </row>
    <row r="26" spans="1:3">
      <c r="A26" s="92" t="s">
        <v>166</v>
      </c>
      <c r="B26" s="93">
        <v>7.5</v>
      </c>
      <c r="C26" s="93">
        <v>3.6</v>
      </c>
    </row>
    <row r="27" spans="1:3">
      <c r="A27" s="92" t="s">
        <v>257</v>
      </c>
      <c r="B27" s="93" t="s">
        <v>790</v>
      </c>
      <c r="C27" s="93">
        <v>6</v>
      </c>
    </row>
    <row r="28" spans="1:3">
      <c r="A28" s="92" t="s">
        <v>173</v>
      </c>
      <c r="B28" s="93">
        <v>8</v>
      </c>
      <c r="C28" s="93">
        <v>4</v>
      </c>
    </row>
    <row r="29" spans="1:3">
      <c r="A29" s="92" t="s">
        <v>791</v>
      </c>
      <c r="B29" s="93">
        <v>7.5</v>
      </c>
      <c r="C29" s="93">
        <v>3.9</v>
      </c>
    </row>
    <row r="30" spans="1:3">
      <c r="A30" s="92" t="s">
        <v>228</v>
      </c>
      <c r="B30" s="93">
        <v>9</v>
      </c>
      <c r="C30" s="93">
        <v>2.1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FF2E-CB65-4930-9049-FDD6D6EBD167}">
  <dimension ref="A1:G450"/>
  <sheetViews>
    <sheetView topLeftCell="A445" workbookViewId="0">
      <selection activeCell="G450" sqref="G450"/>
    </sheetView>
  </sheetViews>
  <sheetFormatPr defaultRowHeight="15"/>
  <sheetData>
    <row r="1" spans="1:7">
      <c r="A1" t="s">
        <v>792</v>
      </c>
    </row>
    <row r="3" spans="1:7">
      <c r="A3" t="s">
        <v>793</v>
      </c>
      <c r="B3" t="s">
        <v>794</v>
      </c>
      <c r="C3" t="s">
        <v>795</v>
      </c>
      <c r="D3" t="s">
        <v>437</v>
      </c>
      <c r="E3" t="s">
        <v>796</v>
      </c>
      <c r="F3" t="s">
        <v>797</v>
      </c>
      <c r="G3" t="s">
        <v>798</v>
      </c>
    </row>
    <row r="4" spans="1:7">
      <c r="A4">
        <v>3030</v>
      </c>
      <c r="B4">
        <v>8138</v>
      </c>
      <c r="C4">
        <v>7</v>
      </c>
      <c r="D4">
        <v>61</v>
      </c>
      <c r="E4">
        <v>161315</v>
      </c>
      <c r="F4">
        <v>2956</v>
      </c>
      <c r="G4">
        <v>257389</v>
      </c>
    </row>
    <row r="5" spans="1:7">
      <c r="A5">
        <v>6050</v>
      </c>
      <c r="B5">
        <v>14530</v>
      </c>
      <c r="C5">
        <v>0</v>
      </c>
      <c r="D5">
        <v>51</v>
      </c>
      <c r="E5">
        <v>144416</v>
      </c>
      <c r="F5">
        <v>22071</v>
      </c>
      <c r="G5">
        <v>237545</v>
      </c>
    </row>
    <row r="6" spans="1:7">
      <c r="A6">
        <v>3571</v>
      </c>
      <c r="B6">
        <v>7433</v>
      </c>
      <c r="C6">
        <v>11</v>
      </c>
      <c r="D6">
        <v>63</v>
      </c>
      <c r="E6">
        <v>139208</v>
      </c>
      <c r="F6">
        <v>4430</v>
      </c>
      <c r="G6">
        <v>49271</v>
      </c>
    </row>
    <row r="7" spans="1:7">
      <c r="A7">
        <v>3300</v>
      </c>
      <c r="B7">
        <v>13464</v>
      </c>
      <c r="C7">
        <v>6</v>
      </c>
      <c r="D7">
        <v>60</v>
      </c>
      <c r="E7">
        <v>100697</v>
      </c>
      <c r="F7">
        <v>6370</v>
      </c>
      <c r="G7">
        <v>92630</v>
      </c>
    </row>
    <row r="8" spans="1:7">
      <c r="A8">
        <v>10000</v>
      </c>
      <c r="B8">
        <v>68285</v>
      </c>
      <c r="C8">
        <v>18</v>
      </c>
      <c r="D8">
        <v>63</v>
      </c>
      <c r="E8">
        <v>100469</v>
      </c>
      <c r="F8">
        <v>9296</v>
      </c>
      <c r="G8">
        <v>355935</v>
      </c>
    </row>
    <row r="9" spans="1:7">
      <c r="A9">
        <v>9375</v>
      </c>
      <c r="B9">
        <v>42381</v>
      </c>
      <c r="C9">
        <v>6</v>
      </c>
      <c r="D9">
        <v>57</v>
      </c>
      <c r="E9">
        <v>81667</v>
      </c>
      <c r="F9">
        <v>6328</v>
      </c>
      <c r="G9">
        <v>86100</v>
      </c>
    </row>
    <row r="10" spans="1:7">
      <c r="A10">
        <v>9525</v>
      </c>
      <c r="B10">
        <v>12165</v>
      </c>
      <c r="C10">
        <v>15</v>
      </c>
      <c r="D10">
        <v>60</v>
      </c>
      <c r="E10">
        <v>76431</v>
      </c>
      <c r="F10">
        <v>5807</v>
      </c>
      <c r="G10">
        <v>668641</v>
      </c>
    </row>
    <row r="11" spans="1:7">
      <c r="A11">
        <v>5000</v>
      </c>
      <c r="B11">
        <v>24424</v>
      </c>
      <c r="C11">
        <v>5</v>
      </c>
      <c r="D11">
        <v>61</v>
      </c>
      <c r="E11">
        <v>57813</v>
      </c>
      <c r="F11">
        <v>5372</v>
      </c>
      <c r="G11">
        <v>59920</v>
      </c>
    </row>
    <row r="12" spans="1:7">
      <c r="A12">
        <v>999</v>
      </c>
      <c r="B12">
        <v>2916</v>
      </c>
      <c r="C12">
        <v>3</v>
      </c>
      <c r="D12">
        <v>57</v>
      </c>
      <c r="E12">
        <v>56154</v>
      </c>
      <c r="F12">
        <v>1120</v>
      </c>
      <c r="G12">
        <v>36672</v>
      </c>
    </row>
    <row r="13" spans="1:7">
      <c r="A13">
        <v>3300</v>
      </c>
      <c r="B13">
        <v>7467</v>
      </c>
      <c r="C13">
        <v>2</v>
      </c>
      <c r="D13">
        <v>60</v>
      </c>
      <c r="E13">
        <v>53588</v>
      </c>
      <c r="F13">
        <v>6398</v>
      </c>
      <c r="G13">
        <v>59550</v>
      </c>
    </row>
    <row r="14" spans="1:7">
      <c r="A14">
        <v>3500</v>
      </c>
      <c r="B14">
        <v>3677</v>
      </c>
      <c r="C14">
        <v>16</v>
      </c>
      <c r="D14">
        <v>63</v>
      </c>
      <c r="E14">
        <v>50777</v>
      </c>
      <c r="F14">
        <v>5165</v>
      </c>
      <c r="G14">
        <v>617679</v>
      </c>
    </row>
    <row r="15" spans="1:7">
      <c r="A15">
        <v>2493</v>
      </c>
      <c r="B15">
        <v>6728</v>
      </c>
      <c r="C15">
        <v>5</v>
      </c>
      <c r="D15">
        <v>61</v>
      </c>
      <c r="E15">
        <v>47678</v>
      </c>
      <c r="F15">
        <v>1704</v>
      </c>
      <c r="G15">
        <v>42754</v>
      </c>
    </row>
    <row r="16" spans="1:7">
      <c r="A16">
        <v>1911</v>
      </c>
      <c r="B16">
        <v>4727</v>
      </c>
      <c r="C16">
        <v>7</v>
      </c>
      <c r="D16">
        <v>58</v>
      </c>
      <c r="E16">
        <v>47061</v>
      </c>
      <c r="F16">
        <v>2945</v>
      </c>
      <c r="G16">
        <v>33673</v>
      </c>
    </row>
    <row r="17" spans="1:7">
      <c r="A17">
        <v>2130</v>
      </c>
      <c r="B17">
        <v>2383</v>
      </c>
      <c r="C17">
        <v>4</v>
      </c>
      <c r="D17">
        <v>59</v>
      </c>
      <c r="E17">
        <v>41322</v>
      </c>
      <c r="F17">
        <v>1048</v>
      </c>
      <c r="G17">
        <v>37675</v>
      </c>
    </row>
    <row r="18" spans="1:7">
      <c r="A18">
        <v>1185</v>
      </c>
      <c r="B18">
        <v>4366</v>
      </c>
      <c r="C18">
        <v>0</v>
      </c>
      <c r="D18">
        <v>56</v>
      </c>
      <c r="E18">
        <v>37154</v>
      </c>
      <c r="F18">
        <v>3780</v>
      </c>
      <c r="G18">
        <v>30966</v>
      </c>
    </row>
    <row r="19" spans="1:7">
      <c r="A19">
        <v>5236</v>
      </c>
      <c r="B19">
        <v>20582</v>
      </c>
      <c r="C19">
        <v>2</v>
      </c>
      <c r="D19">
        <v>60</v>
      </c>
      <c r="E19">
        <v>35853</v>
      </c>
      <c r="F19">
        <v>1259</v>
      </c>
      <c r="G19">
        <v>299804</v>
      </c>
    </row>
    <row r="20" spans="1:7">
      <c r="A20">
        <v>1990</v>
      </c>
      <c r="B20">
        <v>14906</v>
      </c>
      <c r="C20">
        <v>4</v>
      </c>
      <c r="D20">
        <v>60</v>
      </c>
      <c r="E20">
        <v>33674</v>
      </c>
      <c r="F20">
        <v>568</v>
      </c>
      <c r="G20">
        <v>14166</v>
      </c>
    </row>
    <row r="21" spans="1:7">
      <c r="A21">
        <v>6000</v>
      </c>
      <c r="B21">
        <v>31208</v>
      </c>
      <c r="C21">
        <v>32</v>
      </c>
      <c r="D21">
        <v>74</v>
      </c>
      <c r="E21">
        <v>33296</v>
      </c>
      <c r="F21">
        <v>3765.6</v>
      </c>
      <c r="G21">
        <v>194398</v>
      </c>
    </row>
    <row r="22" spans="1:7">
      <c r="A22">
        <v>6229</v>
      </c>
      <c r="B22">
        <v>11621</v>
      </c>
      <c r="C22">
        <v>5</v>
      </c>
      <c r="D22">
        <v>63</v>
      </c>
      <c r="E22">
        <v>32379</v>
      </c>
      <c r="F22">
        <v>3782</v>
      </c>
      <c r="G22">
        <v>365875</v>
      </c>
    </row>
    <row r="23" spans="1:7">
      <c r="A23">
        <v>1523</v>
      </c>
      <c r="B23">
        <v>4354</v>
      </c>
      <c r="C23">
        <v>3</v>
      </c>
      <c r="D23">
        <v>56</v>
      </c>
      <c r="E23">
        <v>31707</v>
      </c>
      <c r="F23">
        <v>578</v>
      </c>
      <c r="G23">
        <v>28570</v>
      </c>
    </row>
    <row r="24" spans="1:7">
      <c r="A24">
        <v>2060</v>
      </c>
      <c r="B24">
        <v>6854</v>
      </c>
      <c r="C24">
        <v>4</v>
      </c>
      <c r="D24">
        <v>52</v>
      </c>
      <c r="E24">
        <v>31565.9</v>
      </c>
      <c r="F24">
        <v>2965.3</v>
      </c>
      <c r="G24">
        <v>55143.9</v>
      </c>
    </row>
    <row r="25" spans="1:7">
      <c r="A25">
        <v>4417</v>
      </c>
      <c r="B25">
        <v>18623</v>
      </c>
      <c r="C25">
        <v>15</v>
      </c>
      <c r="D25">
        <v>57</v>
      </c>
      <c r="E25">
        <v>31260</v>
      </c>
      <c r="F25">
        <v>703</v>
      </c>
      <c r="G25">
        <v>29350</v>
      </c>
    </row>
    <row r="26" spans="1:7">
      <c r="A26">
        <v>8888</v>
      </c>
      <c r="B26">
        <v>48962</v>
      </c>
      <c r="C26">
        <v>17</v>
      </c>
      <c r="D26">
        <v>55</v>
      </c>
      <c r="E26">
        <v>31131</v>
      </c>
      <c r="F26">
        <v>3276</v>
      </c>
      <c r="G26">
        <v>317590</v>
      </c>
    </row>
    <row r="27" spans="1:7">
      <c r="A27">
        <v>3343</v>
      </c>
      <c r="B27">
        <v>11931</v>
      </c>
      <c r="C27">
        <v>5</v>
      </c>
      <c r="D27">
        <v>56</v>
      </c>
      <c r="E27">
        <v>30951</v>
      </c>
      <c r="F27">
        <v>935</v>
      </c>
      <c r="G27">
        <v>15666</v>
      </c>
    </row>
    <row r="28" spans="1:7">
      <c r="A28">
        <v>1062</v>
      </c>
      <c r="B28">
        <v>1821</v>
      </c>
      <c r="C28">
        <v>4</v>
      </c>
      <c r="D28">
        <v>57</v>
      </c>
      <c r="E28">
        <v>30678</v>
      </c>
      <c r="F28">
        <v>594</v>
      </c>
      <c r="G28">
        <v>23638</v>
      </c>
    </row>
    <row r="29" spans="1:7">
      <c r="A29">
        <v>2900</v>
      </c>
      <c r="B29">
        <v>3116</v>
      </c>
      <c r="C29">
        <v>2</v>
      </c>
      <c r="D29">
        <v>56</v>
      </c>
      <c r="E29">
        <v>30219</v>
      </c>
      <c r="F29">
        <v>1614</v>
      </c>
      <c r="G29">
        <v>13465</v>
      </c>
    </row>
    <row r="30" spans="1:7">
      <c r="A30">
        <v>12962</v>
      </c>
      <c r="B30">
        <v>18536</v>
      </c>
      <c r="C30">
        <v>2</v>
      </c>
      <c r="D30">
        <v>52</v>
      </c>
      <c r="E30">
        <v>30147</v>
      </c>
      <c r="F30">
        <v>970</v>
      </c>
      <c r="G30">
        <v>26720</v>
      </c>
    </row>
    <row r="31" spans="1:7">
      <c r="A31">
        <v>1800</v>
      </c>
      <c r="B31">
        <v>2327</v>
      </c>
      <c r="C31">
        <v>2</v>
      </c>
      <c r="D31">
        <v>49</v>
      </c>
      <c r="E31">
        <v>29398</v>
      </c>
      <c r="F31">
        <v>-962</v>
      </c>
      <c r="G31">
        <v>28728</v>
      </c>
    </row>
    <row r="32" spans="1:7">
      <c r="A32">
        <v>6163</v>
      </c>
      <c r="B32">
        <v>10112</v>
      </c>
      <c r="C32">
        <v>9</v>
      </c>
      <c r="D32">
        <v>57</v>
      </c>
      <c r="E32">
        <v>28777</v>
      </c>
      <c r="F32">
        <v>4023</v>
      </c>
      <c r="G32">
        <v>45066</v>
      </c>
    </row>
    <row r="33" spans="1:7">
      <c r="A33">
        <v>1195</v>
      </c>
      <c r="B33">
        <v>3327</v>
      </c>
      <c r="C33">
        <v>9</v>
      </c>
      <c r="D33">
        <v>59</v>
      </c>
      <c r="E33">
        <v>28203.3</v>
      </c>
      <c r="F33">
        <v>410.8</v>
      </c>
      <c r="G33">
        <v>6700.1</v>
      </c>
    </row>
    <row r="34" spans="1:7">
      <c r="A34">
        <v>2550</v>
      </c>
      <c r="B34">
        <v>2557</v>
      </c>
      <c r="C34">
        <v>5</v>
      </c>
      <c r="D34">
        <v>58</v>
      </c>
      <c r="E34">
        <v>26898.2</v>
      </c>
      <c r="F34">
        <v>5248.2</v>
      </c>
      <c r="G34">
        <v>31853.4</v>
      </c>
    </row>
    <row r="35" spans="1:7">
      <c r="A35">
        <v>2460</v>
      </c>
      <c r="B35">
        <v>4315</v>
      </c>
      <c r="C35">
        <v>10</v>
      </c>
      <c r="D35">
        <v>62</v>
      </c>
      <c r="E35">
        <v>26801</v>
      </c>
      <c r="F35">
        <v>1976</v>
      </c>
      <c r="G35">
        <v>36535</v>
      </c>
    </row>
    <row r="36" spans="1:7">
      <c r="A36">
        <v>2244</v>
      </c>
      <c r="B36">
        <v>116840</v>
      </c>
      <c r="C36">
        <v>1</v>
      </c>
      <c r="D36">
        <v>59</v>
      </c>
      <c r="E36">
        <v>26273</v>
      </c>
      <c r="F36">
        <v>6068</v>
      </c>
      <c r="G36">
        <v>31471</v>
      </c>
    </row>
    <row r="37" spans="1:7">
      <c r="A37">
        <v>2344</v>
      </c>
      <c r="B37">
        <v>2485</v>
      </c>
      <c r="C37">
        <v>2</v>
      </c>
      <c r="D37">
        <v>55</v>
      </c>
      <c r="E37">
        <v>26266</v>
      </c>
      <c r="F37">
        <v>1001</v>
      </c>
      <c r="G37">
        <v>28700</v>
      </c>
    </row>
    <row r="38" spans="1:7">
      <c r="A38">
        <v>2605</v>
      </c>
      <c r="B38">
        <v>3747</v>
      </c>
      <c r="C38">
        <v>0</v>
      </c>
      <c r="D38">
        <v>53</v>
      </c>
      <c r="E38">
        <v>25879</v>
      </c>
      <c r="F38">
        <v>3294</v>
      </c>
      <c r="G38">
        <v>87691</v>
      </c>
    </row>
    <row r="39" spans="1:7">
      <c r="A39">
        <v>3071</v>
      </c>
      <c r="B39">
        <v>12290</v>
      </c>
      <c r="C39">
        <v>5</v>
      </c>
      <c r="D39">
        <v>57</v>
      </c>
      <c r="E39">
        <v>25715</v>
      </c>
      <c r="F39">
        <v>1255</v>
      </c>
      <c r="G39">
        <v>18375</v>
      </c>
    </row>
    <row r="40" spans="1:7">
      <c r="A40">
        <v>3195</v>
      </c>
      <c r="B40">
        <v>9865</v>
      </c>
      <c r="C40">
        <v>15</v>
      </c>
      <c r="D40">
        <v>55</v>
      </c>
      <c r="E40">
        <v>25595</v>
      </c>
      <c r="F40">
        <v>3108</v>
      </c>
      <c r="G40">
        <v>261496</v>
      </c>
    </row>
    <row r="41" spans="1:7">
      <c r="A41">
        <v>2523</v>
      </c>
      <c r="B41">
        <v>4946</v>
      </c>
      <c r="C41">
        <v>7</v>
      </c>
      <c r="D41">
        <v>59</v>
      </c>
      <c r="E41">
        <v>25473</v>
      </c>
      <c r="F41">
        <v>2172</v>
      </c>
      <c r="G41">
        <v>43615</v>
      </c>
    </row>
    <row r="42" spans="1:7">
      <c r="A42">
        <v>2418</v>
      </c>
      <c r="B42">
        <v>2867</v>
      </c>
      <c r="C42">
        <v>4</v>
      </c>
      <c r="D42">
        <v>56</v>
      </c>
      <c r="E42">
        <v>24754</v>
      </c>
      <c r="F42">
        <v>674</v>
      </c>
      <c r="G42">
        <v>21133</v>
      </c>
    </row>
    <row r="43" spans="1:7">
      <c r="A43">
        <v>1875</v>
      </c>
      <c r="B43">
        <v>1875</v>
      </c>
      <c r="C43">
        <v>6</v>
      </c>
      <c r="D43">
        <v>49</v>
      </c>
      <c r="E43">
        <v>24484.2</v>
      </c>
      <c r="F43">
        <v>806.7</v>
      </c>
      <c r="G43">
        <v>11389.6</v>
      </c>
    </row>
    <row r="44" spans="1:7">
      <c r="A44">
        <v>533</v>
      </c>
      <c r="B44">
        <v>550</v>
      </c>
      <c r="C44">
        <v>11</v>
      </c>
      <c r="D44">
        <v>63</v>
      </c>
      <c r="E44">
        <v>24269.9</v>
      </c>
      <c r="F44">
        <v>459.8</v>
      </c>
      <c r="G44">
        <v>6259.8</v>
      </c>
    </row>
    <row r="45" spans="1:7">
      <c r="A45">
        <v>1098</v>
      </c>
      <c r="B45">
        <v>2477</v>
      </c>
      <c r="C45">
        <v>2</v>
      </c>
      <c r="D45">
        <v>50</v>
      </c>
      <c r="E45">
        <v>23840.5</v>
      </c>
      <c r="F45">
        <v>613.20000000000005</v>
      </c>
      <c r="G45">
        <v>11702.8</v>
      </c>
    </row>
    <row r="46" spans="1:7">
      <c r="A46">
        <v>2627</v>
      </c>
      <c r="B46">
        <v>7215</v>
      </c>
      <c r="C46">
        <v>10</v>
      </c>
      <c r="D46">
        <v>60</v>
      </c>
      <c r="E46">
        <v>23657</v>
      </c>
      <c r="F46">
        <v>3059</v>
      </c>
      <c r="G46">
        <v>26211</v>
      </c>
    </row>
    <row r="47" spans="1:7">
      <c r="A47">
        <v>2990</v>
      </c>
      <c r="B47">
        <v>3941</v>
      </c>
      <c r="C47">
        <v>2</v>
      </c>
      <c r="D47">
        <v>56</v>
      </c>
      <c r="E47">
        <v>23123</v>
      </c>
      <c r="F47">
        <v>3527</v>
      </c>
      <c r="G47">
        <v>39410</v>
      </c>
    </row>
    <row r="48" spans="1:7">
      <c r="A48">
        <v>5764</v>
      </c>
      <c r="B48">
        <v>589101</v>
      </c>
      <c r="C48">
        <v>15</v>
      </c>
      <c r="D48">
        <v>57</v>
      </c>
      <c r="E48">
        <v>22976</v>
      </c>
      <c r="F48">
        <v>1850</v>
      </c>
      <c r="G48">
        <v>41378</v>
      </c>
    </row>
    <row r="49" spans="1:7">
      <c r="A49">
        <v>2000</v>
      </c>
      <c r="B49">
        <v>4082</v>
      </c>
      <c r="C49">
        <v>3</v>
      </c>
      <c r="D49">
        <v>54</v>
      </c>
      <c r="E49">
        <v>22348</v>
      </c>
      <c r="F49">
        <v>1993</v>
      </c>
      <c r="G49">
        <v>22660</v>
      </c>
    </row>
    <row r="50" spans="1:7">
      <c r="A50">
        <v>3420</v>
      </c>
      <c r="B50">
        <v>12785</v>
      </c>
      <c r="C50">
        <v>15</v>
      </c>
      <c r="D50">
        <v>57</v>
      </c>
      <c r="E50">
        <v>21543</v>
      </c>
      <c r="F50">
        <v>2891</v>
      </c>
      <c r="G50">
        <v>237363</v>
      </c>
    </row>
    <row r="51" spans="1:7">
      <c r="A51">
        <v>4869</v>
      </c>
      <c r="B51">
        <v>15133</v>
      </c>
      <c r="C51">
        <v>11</v>
      </c>
      <c r="D51">
        <v>55</v>
      </c>
      <c r="E51">
        <v>21437</v>
      </c>
      <c r="F51">
        <v>1292</v>
      </c>
      <c r="G51">
        <v>114612</v>
      </c>
    </row>
    <row r="52" spans="1:7">
      <c r="A52">
        <v>973</v>
      </c>
      <c r="B52">
        <v>1494</v>
      </c>
      <c r="C52">
        <v>0</v>
      </c>
      <c r="D52">
        <v>60</v>
      </c>
      <c r="E52">
        <v>20977</v>
      </c>
      <c r="F52">
        <v>1513</v>
      </c>
      <c r="G52">
        <v>25128</v>
      </c>
    </row>
    <row r="53" spans="1:7">
      <c r="A53">
        <v>2250</v>
      </c>
      <c r="B53">
        <v>2627</v>
      </c>
      <c r="C53">
        <v>2</v>
      </c>
      <c r="D53">
        <v>46</v>
      </c>
      <c r="E53">
        <v>20857.3</v>
      </c>
      <c r="F53">
        <v>154.9</v>
      </c>
      <c r="G53">
        <v>5607.5</v>
      </c>
    </row>
    <row r="54" spans="1:7">
      <c r="A54">
        <v>1380</v>
      </c>
      <c r="B54">
        <v>1419</v>
      </c>
      <c r="C54">
        <v>0</v>
      </c>
      <c r="D54">
        <v>46</v>
      </c>
      <c r="E54">
        <v>20713</v>
      </c>
      <c r="F54">
        <v>464.8</v>
      </c>
      <c r="G54">
        <v>70906.399999999994</v>
      </c>
    </row>
    <row r="55" spans="1:7">
      <c r="A55">
        <v>1359</v>
      </c>
      <c r="B55">
        <v>2538</v>
      </c>
      <c r="C55">
        <v>2</v>
      </c>
      <c r="D55">
        <v>62</v>
      </c>
      <c r="E55">
        <v>20604.099999999999</v>
      </c>
      <c r="F55">
        <v>848.1</v>
      </c>
      <c r="G55">
        <v>105148.1</v>
      </c>
    </row>
    <row r="56" spans="1:7">
      <c r="A56">
        <v>3925</v>
      </c>
      <c r="B56">
        <v>4887</v>
      </c>
      <c r="C56">
        <v>6</v>
      </c>
      <c r="D56">
        <v>55</v>
      </c>
      <c r="E56">
        <v>20482</v>
      </c>
      <c r="F56">
        <v>1950</v>
      </c>
      <c r="G56">
        <v>202475</v>
      </c>
    </row>
    <row r="57" spans="1:7">
      <c r="A57">
        <v>3729</v>
      </c>
      <c r="B57">
        <v>9492</v>
      </c>
      <c r="C57">
        <v>0</v>
      </c>
      <c r="D57">
        <v>54</v>
      </c>
      <c r="E57">
        <v>20019</v>
      </c>
      <c r="F57">
        <v>395</v>
      </c>
      <c r="G57">
        <v>30024</v>
      </c>
    </row>
    <row r="58" spans="1:7">
      <c r="A58">
        <v>2747</v>
      </c>
      <c r="B58">
        <v>21739</v>
      </c>
      <c r="C58">
        <v>24</v>
      </c>
      <c r="D58">
        <v>62</v>
      </c>
      <c r="E58">
        <v>20011</v>
      </c>
      <c r="F58">
        <v>-523</v>
      </c>
      <c r="G58">
        <v>10989</v>
      </c>
    </row>
    <row r="59" spans="1:7">
      <c r="A59">
        <v>1631</v>
      </c>
      <c r="B59">
        <v>2159</v>
      </c>
      <c r="C59">
        <v>2</v>
      </c>
      <c r="D59">
        <v>56</v>
      </c>
      <c r="E59">
        <v>19942</v>
      </c>
      <c r="F59">
        <v>719</v>
      </c>
      <c r="G59">
        <v>33234</v>
      </c>
    </row>
    <row r="60" spans="1:7">
      <c r="A60">
        <v>3100</v>
      </c>
      <c r="B60">
        <v>3108</v>
      </c>
      <c r="C60">
        <v>6</v>
      </c>
      <c r="D60">
        <v>53</v>
      </c>
      <c r="E60">
        <v>19894</v>
      </c>
      <c r="F60">
        <v>736</v>
      </c>
      <c r="G60">
        <v>154000</v>
      </c>
    </row>
    <row r="61" spans="1:7">
      <c r="A61">
        <v>1264</v>
      </c>
      <c r="B61">
        <v>1603</v>
      </c>
      <c r="C61">
        <v>7</v>
      </c>
      <c r="D61">
        <v>51</v>
      </c>
      <c r="E61">
        <v>19866.7</v>
      </c>
      <c r="F61">
        <v>233.7</v>
      </c>
      <c r="G61">
        <v>8885.2999999999993</v>
      </c>
    </row>
    <row r="62" spans="1:7">
      <c r="A62">
        <v>2350</v>
      </c>
      <c r="B62">
        <v>2636</v>
      </c>
      <c r="C62">
        <v>0</v>
      </c>
      <c r="D62">
        <v>52</v>
      </c>
      <c r="E62">
        <v>19530</v>
      </c>
      <c r="F62">
        <v>864</v>
      </c>
      <c r="G62">
        <v>27939</v>
      </c>
    </row>
    <row r="63" spans="1:7">
      <c r="A63">
        <v>1713</v>
      </c>
      <c r="B63">
        <v>3945</v>
      </c>
      <c r="C63">
        <v>3</v>
      </c>
      <c r="D63">
        <v>60</v>
      </c>
      <c r="E63">
        <v>19500</v>
      </c>
      <c r="F63">
        <v>213</v>
      </c>
      <c r="G63">
        <v>27080</v>
      </c>
    </row>
    <row r="64" spans="1:7">
      <c r="A64">
        <v>1773</v>
      </c>
      <c r="B64">
        <v>5502</v>
      </c>
      <c r="C64">
        <v>1</v>
      </c>
      <c r="D64">
        <v>52</v>
      </c>
      <c r="E64">
        <v>19205</v>
      </c>
      <c r="F64">
        <v>1314</v>
      </c>
      <c r="G64">
        <v>22303</v>
      </c>
    </row>
    <row r="65" spans="1:7">
      <c r="A65">
        <v>3419</v>
      </c>
      <c r="B65">
        <v>8681</v>
      </c>
      <c r="C65">
        <v>6</v>
      </c>
      <c r="D65">
        <v>60</v>
      </c>
      <c r="E65">
        <v>19132</v>
      </c>
      <c r="F65">
        <v>2141</v>
      </c>
      <c r="G65">
        <v>126933</v>
      </c>
    </row>
    <row r="66" spans="1:7">
      <c r="A66">
        <v>2750</v>
      </c>
      <c r="B66">
        <v>40590</v>
      </c>
      <c r="C66">
        <v>2</v>
      </c>
      <c r="D66">
        <v>52</v>
      </c>
      <c r="E66">
        <v>18813</v>
      </c>
      <c r="F66">
        <v>3533</v>
      </c>
      <c r="G66">
        <v>19145</v>
      </c>
    </row>
    <row r="67" spans="1:7">
      <c r="A67">
        <v>1583</v>
      </c>
      <c r="B67">
        <v>1733</v>
      </c>
      <c r="C67">
        <v>4</v>
      </c>
      <c r="D67">
        <v>60</v>
      </c>
      <c r="E67">
        <v>18441</v>
      </c>
      <c r="F67">
        <v>1310</v>
      </c>
      <c r="G67">
        <v>23830</v>
      </c>
    </row>
    <row r="68" spans="1:7">
      <c r="A68">
        <v>1875</v>
      </c>
      <c r="B68">
        <v>12357</v>
      </c>
      <c r="C68">
        <v>4</v>
      </c>
      <c r="D68">
        <v>52</v>
      </c>
      <c r="E68">
        <v>18425</v>
      </c>
      <c r="F68">
        <v>963</v>
      </c>
      <c r="G68">
        <v>261067</v>
      </c>
    </row>
    <row r="69" spans="1:7">
      <c r="A69">
        <v>3194</v>
      </c>
      <c r="B69">
        <v>34753</v>
      </c>
      <c r="C69">
        <v>5</v>
      </c>
      <c r="D69">
        <v>65</v>
      </c>
      <c r="E69">
        <v>18283.599999999999</v>
      </c>
      <c r="F69">
        <v>3141.2</v>
      </c>
      <c r="G69">
        <v>16272.5</v>
      </c>
    </row>
    <row r="70" spans="1:7">
      <c r="A70">
        <v>2788</v>
      </c>
      <c r="B70">
        <v>2856</v>
      </c>
      <c r="C70">
        <v>15</v>
      </c>
      <c r="D70">
        <v>34</v>
      </c>
      <c r="E70">
        <v>18243</v>
      </c>
      <c r="F70">
        <v>1460</v>
      </c>
      <c r="G70">
        <v>6877</v>
      </c>
    </row>
    <row r="71" spans="1:7">
      <c r="A71">
        <v>2925</v>
      </c>
      <c r="B71">
        <v>5278</v>
      </c>
      <c r="C71">
        <v>12</v>
      </c>
      <c r="D71">
        <v>57</v>
      </c>
      <c r="E71">
        <v>18048</v>
      </c>
      <c r="F71">
        <v>1700</v>
      </c>
      <c r="G71">
        <v>321421</v>
      </c>
    </row>
    <row r="72" spans="1:7">
      <c r="A72">
        <v>8050</v>
      </c>
      <c r="B72">
        <v>8109</v>
      </c>
      <c r="C72">
        <v>14</v>
      </c>
      <c r="D72">
        <v>57</v>
      </c>
      <c r="E72">
        <v>17678</v>
      </c>
      <c r="F72">
        <v>-2669</v>
      </c>
      <c r="G72">
        <v>80193</v>
      </c>
    </row>
    <row r="73" spans="1:7">
      <c r="A73">
        <v>1701</v>
      </c>
      <c r="B73">
        <v>2769</v>
      </c>
      <c r="C73">
        <v>2</v>
      </c>
      <c r="D73">
        <v>53</v>
      </c>
      <c r="E73">
        <v>17610</v>
      </c>
      <c r="F73">
        <v>1252</v>
      </c>
      <c r="G73">
        <v>26806</v>
      </c>
    </row>
    <row r="74" spans="1:7">
      <c r="A74">
        <v>1423</v>
      </c>
      <c r="B74">
        <v>2905</v>
      </c>
      <c r="C74">
        <v>5</v>
      </c>
      <c r="D74">
        <v>63</v>
      </c>
      <c r="E74">
        <v>17561</v>
      </c>
      <c r="F74">
        <v>821</v>
      </c>
      <c r="G74">
        <v>18559</v>
      </c>
    </row>
    <row r="75" spans="1:7">
      <c r="A75">
        <v>1000</v>
      </c>
      <c r="B75">
        <v>1000</v>
      </c>
      <c r="C75">
        <v>4</v>
      </c>
      <c r="D75">
        <v>61</v>
      </c>
      <c r="E75">
        <v>17487.3</v>
      </c>
      <c r="F75">
        <v>499.5</v>
      </c>
      <c r="G75">
        <v>13925.8</v>
      </c>
    </row>
    <row r="76" spans="1:7">
      <c r="A76">
        <v>1300</v>
      </c>
      <c r="B76">
        <v>20597</v>
      </c>
      <c r="C76">
        <v>8</v>
      </c>
      <c r="D76">
        <v>51</v>
      </c>
      <c r="E76">
        <v>17355</v>
      </c>
      <c r="F76">
        <v>-166</v>
      </c>
      <c r="G76">
        <v>9701</v>
      </c>
    </row>
    <row r="77" spans="1:7">
      <c r="A77">
        <v>2338</v>
      </c>
      <c r="B77">
        <v>3601</v>
      </c>
      <c r="C77">
        <v>4</v>
      </c>
      <c r="D77">
        <v>58</v>
      </c>
      <c r="E77">
        <v>17353.099999999999</v>
      </c>
      <c r="F77">
        <v>-14.7</v>
      </c>
      <c r="G77">
        <v>11112</v>
      </c>
    </row>
    <row r="78" spans="1:7">
      <c r="A78">
        <v>2083</v>
      </c>
      <c r="B78">
        <v>4096</v>
      </c>
      <c r="C78">
        <v>18</v>
      </c>
      <c r="D78">
        <v>60</v>
      </c>
      <c r="E78">
        <v>17201.400000000001</v>
      </c>
      <c r="F78">
        <v>230.8</v>
      </c>
      <c r="G78">
        <v>4093</v>
      </c>
    </row>
    <row r="79" spans="1:7">
      <c r="A79">
        <v>3019</v>
      </c>
      <c r="B79">
        <v>5940</v>
      </c>
      <c r="C79">
        <v>5</v>
      </c>
      <c r="D79">
        <v>51</v>
      </c>
      <c r="E79">
        <v>17154</v>
      </c>
      <c r="F79">
        <v>3606</v>
      </c>
      <c r="G79">
        <v>30299</v>
      </c>
    </row>
    <row r="80" spans="1:7">
      <c r="A80">
        <v>1851</v>
      </c>
      <c r="B80">
        <v>24623</v>
      </c>
      <c r="C80">
        <v>14</v>
      </c>
      <c r="D80">
        <v>59</v>
      </c>
      <c r="E80">
        <v>17134.3</v>
      </c>
      <c r="F80">
        <v>414.5</v>
      </c>
      <c r="G80">
        <v>33231.1</v>
      </c>
    </row>
    <row r="81" spans="1:7">
      <c r="A81">
        <v>2750</v>
      </c>
      <c r="B81">
        <v>4925</v>
      </c>
      <c r="C81">
        <v>3</v>
      </c>
      <c r="D81">
        <v>53</v>
      </c>
      <c r="E81">
        <v>17037</v>
      </c>
      <c r="F81">
        <v>-577</v>
      </c>
      <c r="G81">
        <v>28892</v>
      </c>
    </row>
    <row r="82" spans="1:7">
      <c r="A82">
        <v>3000</v>
      </c>
      <c r="B82">
        <v>3000</v>
      </c>
      <c r="C82">
        <v>0</v>
      </c>
      <c r="D82">
        <v>51</v>
      </c>
      <c r="E82">
        <v>16891</v>
      </c>
      <c r="F82">
        <v>743.4</v>
      </c>
      <c r="G82">
        <v>11526.1</v>
      </c>
    </row>
    <row r="83" spans="1:7">
      <c r="A83">
        <v>2128</v>
      </c>
      <c r="B83">
        <v>2137</v>
      </c>
      <c r="C83">
        <v>2</v>
      </c>
      <c r="D83">
        <v>55</v>
      </c>
      <c r="E83">
        <v>16108.6</v>
      </c>
      <c r="F83">
        <v>403.6</v>
      </c>
      <c r="G83">
        <v>13833.5</v>
      </c>
    </row>
    <row r="84" spans="1:7">
      <c r="A84">
        <v>1656</v>
      </c>
      <c r="B84">
        <v>3796</v>
      </c>
      <c r="C84">
        <v>8</v>
      </c>
      <c r="D84">
        <v>58</v>
      </c>
      <c r="E84">
        <v>16005.1</v>
      </c>
      <c r="F84">
        <v>567.20000000000005</v>
      </c>
      <c r="G84">
        <v>6234</v>
      </c>
    </row>
    <row r="85" spans="1:7">
      <c r="A85">
        <v>1524</v>
      </c>
      <c r="B85">
        <v>4021</v>
      </c>
      <c r="C85">
        <v>28</v>
      </c>
      <c r="D85">
        <v>53</v>
      </c>
      <c r="E85">
        <v>15918.1</v>
      </c>
      <c r="F85">
        <v>247.1</v>
      </c>
      <c r="G85">
        <v>3961.1</v>
      </c>
    </row>
    <row r="86" spans="1:7">
      <c r="A86">
        <v>1803</v>
      </c>
      <c r="B86">
        <v>17914</v>
      </c>
      <c r="C86">
        <v>28</v>
      </c>
      <c r="D86">
        <v>54</v>
      </c>
      <c r="E86">
        <v>15872.8</v>
      </c>
      <c r="F86">
        <v>503</v>
      </c>
      <c r="G86">
        <v>9686.1</v>
      </c>
    </row>
    <row r="87" spans="1:7">
      <c r="A87">
        <v>1877</v>
      </c>
      <c r="B87">
        <v>5249</v>
      </c>
      <c r="C87">
        <v>2</v>
      </c>
      <c r="D87">
        <v>55</v>
      </c>
      <c r="E87">
        <v>15833</v>
      </c>
      <c r="F87">
        <v>662</v>
      </c>
      <c r="G87">
        <v>13464</v>
      </c>
    </row>
    <row r="88" spans="1:7">
      <c r="A88">
        <v>2450</v>
      </c>
      <c r="B88">
        <v>6407</v>
      </c>
      <c r="C88">
        <v>12</v>
      </c>
      <c r="D88">
        <v>63</v>
      </c>
      <c r="E88">
        <v>15489.4</v>
      </c>
      <c r="F88">
        <v>853</v>
      </c>
      <c r="G88">
        <v>17462.5</v>
      </c>
    </row>
    <row r="89" spans="1:7">
      <c r="A89">
        <v>1422</v>
      </c>
      <c r="B89">
        <v>2104</v>
      </c>
      <c r="C89">
        <v>4</v>
      </c>
      <c r="D89">
        <v>62</v>
      </c>
      <c r="E89">
        <v>15327.5</v>
      </c>
      <c r="F89">
        <v>296.8</v>
      </c>
      <c r="G89">
        <v>3780.2</v>
      </c>
    </row>
    <row r="90" spans="1:7">
      <c r="A90">
        <v>1314</v>
      </c>
      <c r="B90">
        <v>6737</v>
      </c>
      <c r="C90">
        <v>1</v>
      </c>
      <c r="D90">
        <v>57</v>
      </c>
      <c r="E90">
        <v>15307</v>
      </c>
      <c r="F90">
        <v>511</v>
      </c>
      <c r="G90">
        <v>4902</v>
      </c>
    </row>
    <row r="91" spans="1:7">
      <c r="A91">
        <v>2003</v>
      </c>
      <c r="B91">
        <v>2316</v>
      </c>
      <c r="C91">
        <v>1</v>
      </c>
      <c r="D91">
        <v>46</v>
      </c>
      <c r="E91">
        <v>15273.6</v>
      </c>
      <c r="F91">
        <v>396.4</v>
      </c>
      <c r="G91">
        <v>6736.2</v>
      </c>
    </row>
    <row r="92" spans="1:7">
      <c r="A92">
        <v>6000</v>
      </c>
      <c r="B92">
        <v>14699</v>
      </c>
      <c r="C92">
        <v>8</v>
      </c>
      <c r="D92">
        <v>64</v>
      </c>
      <c r="E92">
        <v>15128</v>
      </c>
      <c r="F92">
        <v>1331</v>
      </c>
      <c r="G92">
        <v>15560</v>
      </c>
    </row>
    <row r="93" spans="1:7">
      <c r="A93">
        <v>750</v>
      </c>
      <c r="B93">
        <v>1056</v>
      </c>
      <c r="C93">
        <v>0</v>
      </c>
      <c r="D93">
        <v>44</v>
      </c>
      <c r="E93">
        <v>15069.3</v>
      </c>
      <c r="F93">
        <v>-510.6</v>
      </c>
      <c r="G93">
        <v>3491</v>
      </c>
    </row>
    <row r="94" spans="1:7">
      <c r="A94">
        <v>1782</v>
      </c>
      <c r="B94">
        <v>7192</v>
      </c>
      <c r="C94">
        <v>2</v>
      </c>
      <c r="D94">
        <v>51</v>
      </c>
      <c r="E94">
        <v>15022</v>
      </c>
      <c r="F94">
        <v>1015</v>
      </c>
      <c r="G94">
        <v>150632</v>
      </c>
    </row>
    <row r="95" spans="1:7">
      <c r="A95">
        <v>1717</v>
      </c>
      <c r="B95">
        <v>9276</v>
      </c>
      <c r="C95">
        <v>8</v>
      </c>
      <c r="D95">
        <v>62</v>
      </c>
      <c r="E95">
        <v>15021</v>
      </c>
      <c r="F95">
        <v>1175</v>
      </c>
      <c r="G95">
        <v>14153</v>
      </c>
    </row>
    <row r="96" spans="1:7">
      <c r="A96">
        <v>1660</v>
      </c>
      <c r="B96">
        <v>3053</v>
      </c>
      <c r="C96">
        <v>8</v>
      </c>
      <c r="D96">
        <v>55</v>
      </c>
      <c r="E96">
        <v>14878.8</v>
      </c>
      <c r="F96">
        <v>-162.80000000000001</v>
      </c>
      <c r="G96">
        <v>10151.200000000001</v>
      </c>
    </row>
    <row r="97" spans="1:7">
      <c r="A97">
        <v>1169</v>
      </c>
      <c r="B97">
        <v>1345</v>
      </c>
      <c r="C97">
        <v>4</v>
      </c>
      <c r="D97">
        <v>61</v>
      </c>
      <c r="E97">
        <v>14736</v>
      </c>
      <c r="F97">
        <v>740</v>
      </c>
      <c r="G97">
        <v>39514</v>
      </c>
    </row>
    <row r="98" spans="1:7">
      <c r="A98">
        <v>3959</v>
      </c>
      <c r="B98">
        <v>38221</v>
      </c>
      <c r="C98">
        <v>8</v>
      </c>
      <c r="D98">
        <v>62</v>
      </c>
      <c r="E98">
        <v>14704</v>
      </c>
      <c r="F98">
        <v>3351</v>
      </c>
      <c r="G98">
        <v>18302</v>
      </c>
    </row>
    <row r="99" spans="1:7">
      <c r="A99">
        <v>8800</v>
      </c>
      <c r="B99">
        <v>15145</v>
      </c>
      <c r="C99">
        <v>7</v>
      </c>
      <c r="D99">
        <v>60</v>
      </c>
      <c r="E99">
        <v>14582</v>
      </c>
      <c r="F99">
        <v>168</v>
      </c>
      <c r="G99">
        <v>31640</v>
      </c>
    </row>
    <row r="100" spans="1:7">
      <c r="A100">
        <v>542</v>
      </c>
      <c r="B100">
        <v>542</v>
      </c>
      <c r="C100">
        <v>18</v>
      </c>
      <c r="D100">
        <v>43</v>
      </c>
      <c r="E100">
        <v>14484</v>
      </c>
      <c r="F100">
        <v>4490</v>
      </c>
      <c r="G100">
        <v>22357</v>
      </c>
    </row>
    <row r="101" spans="1:7">
      <c r="A101">
        <v>1356</v>
      </c>
      <c r="B101">
        <v>1379</v>
      </c>
      <c r="C101">
        <v>14</v>
      </c>
      <c r="D101">
        <v>49</v>
      </c>
      <c r="E101">
        <v>14258</v>
      </c>
      <c r="F101">
        <v>108.4</v>
      </c>
      <c r="G101">
        <v>5260</v>
      </c>
    </row>
    <row r="102" spans="1:7">
      <c r="A102">
        <v>1571</v>
      </c>
      <c r="B102">
        <v>2077</v>
      </c>
      <c r="C102">
        <v>2</v>
      </c>
      <c r="D102">
        <v>56</v>
      </c>
      <c r="E102">
        <v>14138</v>
      </c>
      <c r="F102">
        <v>1001</v>
      </c>
      <c r="G102">
        <v>14603</v>
      </c>
    </row>
    <row r="103" spans="1:7">
      <c r="A103">
        <v>100</v>
      </c>
      <c r="B103">
        <v>100</v>
      </c>
      <c r="C103">
        <v>29</v>
      </c>
      <c r="D103">
        <v>68</v>
      </c>
      <c r="E103">
        <v>13832</v>
      </c>
      <c r="F103">
        <v>2830</v>
      </c>
      <c r="G103">
        <v>122237</v>
      </c>
    </row>
    <row r="104" spans="1:7">
      <c r="A104">
        <v>2530</v>
      </c>
      <c r="B104">
        <v>4858</v>
      </c>
      <c r="C104">
        <v>10</v>
      </c>
      <c r="D104">
        <v>64</v>
      </c>
      <c r="E104">
        <v>13821.5</v>
      </c>
      <c r="F104">
        <v>1021.4</v>
      </c>
      <c r="G104">
        <v>18001.5</v>
      </c>
    </row>
    <row r="105" spans="1:7">
      <c r="A105">
        <v>1287</v>
      </c>
      <c r="B105">
        <v>1345</v>
      </c>
      <c r="C105">
        <v>2</v>
      </c>
      <c r="D105">
        <v>52</v>
      </c>
      <c r="E105">
        <v>13720</v>
      </c>
      <c r="F105">
        <v>3.1</v>
      </c>
      <c r="G105">
        <v>3003.2</v>
      </c>
    </row>
    <row r="106" spans="1:7">
      <c r="A106">
        <v>600</v>
      </c>
      <c r="B106">
        <v>641</v>
      </c>
      <c r="C106">
        <v>17</v>
      </c>
      <c r="D106">
        <v>53</v>
      </c>
      <c r="E106">
        <v>13617.5</v>
      </c>
      <c r="F106">
        <v>198.6</v>
      </c>
      <c r="G106">
        <v>3068.7</v>
      </c>
    </row>
    <row r="107" spans="1:7">
      <c r="A107">
        <v>1260</v>
      </c>
      <c r="B107">
        <v>2076</v>
      </c>
      <c r="C107">
        <v>1</v>
      </c>
      <c r="D107">
        <v>61</v>
      </c>
      <c r="E107">
        <v>13504.8</v>
      </c>
      <c r="F107">
        <v>235.5</v>
      </c>
      <c r="G107">
        <v>5019.2</v>
      </c>
    </row>
    <row r="108" spans="1:7">
      <c r="A108">
        <v>2774</v>
      </c>
      <c r="B108">
        <v>15205</v>
      </c>
      <c r="C108">
        <v>12</v>
      </c>
      <c r="D108">
        <v>61</v>
      </c>
      <c r="E108">
        <v>13462.7</v>
      </c>
      <c r="F108">
        <v>2474.3000000000002</v>
      </c>
      <c r="G108">
        <v>21079.1</v>
      </c>
    </row>
    <row r="109" spans="1:7">
      <c r="A109">
        <v>3400</v>
      </c>
      <c r="B109">
        <v>15413</v>
      </c>
      <c r="C109">
        <v>26</v>
      </c>
      <c r="D109">
        <v>63</v>
      </c>
      <c r="E109">
        <v>13447.2</v>
      </c>
      <c r="F109">
        <v>1228.5999999999999</v>
      </c>
      <c r="G109">
        <v>12659.8</v>
      </c>
    </row>
    <row r="110" spans="1:7">
      <c r="A110">
        <v>1825</v>
      </c>
      <c r="B110">
        <v>3161</v>
      </c>
      <c r="C110">
        <v>1</v>
      </c>
      <c r="D110">
        <v>66</v>
      </c>
      <c r="E110">
        <v>13414</v>
      </c>
      <c r="F110">
        <v>142</v>
      </c>
      <c r="G110">
        <v>21132</v>
      </c>
    </row>
    <row r="111" spans="1:7">
      <c r="A111">
        <v>1875</v>
      </c>
      <c r="B111">
        <v>2468</v>
      </c>
      <c r="C111">
        <v>1</v>
      </c>
      <c r="D111">
        <v>49</v>
      </c>
      <c r="E111">
        <v>13413</v>
      </c>
      <c r="F111">
        <v>849</v>
      </c>
      <c r="G111">
        <v>10553</v>
      </c>
    </row>
    <row r="112" spans="1:7">
      <c r="A112">
        <v>3710</v>
      </c>
      <c r="B112">
        <v>6951</v>
      </c>
      <c r="C112">
        <v>5</v>
      </c>
      <c r="D112">
        <v>58</v>
      </c>
      <c r="E112">
        <v>13406</v>
      </c>
      <c r="F112">
        <v>1390</v>
      </c>
      <c r="G112">
        <v>14733</v>
      </c>
    </row>
    <row r="113" spans="1:7">
      <c r="A113">
        <v>1450</v>
      </c>
      <c r="B113">
        <v>2855</v>
      </c>
      <c r="C113">
        <v>6</v>
      </c>
      <c r="D113">
        <v>58</v>
      </c>
      <c r="E113">
        <v>13223</v>
      </c>
      <c r="F113">
        <v>98</v>
      </c>
      <c r="G113">
        <v>11538</v>
      </c>
    </row>
    <row r="114" spans="1:7">
      <c r="A114">
        <v>1720</v>
      </c>
      <c r="B114">
        <v>2005</v>
      </c>
      <c r="C114">
        <v>5</v>
      </c>
      <c r="D114">
        <v>56</v>
      </c>
      <c r="E114">
        <v>13195</v>
      </c>
      <c r="F114">
        <v>452</v>
      </c>
      <c r="G114">
        <v>25199</v>
      </c>
    </row>
    <row r="115" spans="1:7">
      <c r="A115">
        <v>824</v>
      </c>
      <c r="B115">
        <v>1060</v>
      </c>
      <c r="C115">
        <v>6</v>
      </c>
      <c r="D115">
        <v>62</v>
      </c>
      <c r="E115">
        <v>13105</v>
      </c>
      <c r="F115">
        <v>1195.7</v>
      </c>
      <c r="G115">
        <v>104624.4</v>
      </c>
    </row>
    <row r="116" spans="1:7">
      <c r="A116">
        <v>5568</v>
      </c>
      <c r="B116">
        <v>5786</v>
      </c>
      <c r="C116">
        <v>19</v>
      </c>
      <c r="D116">
        <v>66</v>
      </c>
      <c r="E116">
        <v>12848.6</v>
      </c>
      <c r="F116">
        <v>190</v>
      </c>
      <c r="G116">
        <v>3008.1</v>
      </c>
    </row>
    <row r="117" spans="1:7">
      <c r="A117">
        <v>1247</v>
      </c>
      <c r="B117">
        <v>2373</v>
      </c>
      <c r="C117">
        <v>0</v>
      </c>
      <c r="D117">
        <v>57</v>
      </c>
      <c r="E117">
        <v>12838.7</v>
      </c>
      <c r="F117">
        <v>534.1</v>
      </c>
      <c r="G117">
        <v>10137.5</v>
      </c>
    </row>
    <row r="118" spans="1:7">
      <c r="A118">
        <v>1638</v>
      </c>
      <c r="B118">
        <v>5075</v>
      </c>
      <c r="C118">
        <v>9</v>
      </c>
      <c r="D118">
        <v>49</v>
      </c>
      <c r="E118">
        <v>12745.6</v>
      </c>
      <c r="F118">
        <v>1486.9</v>
      </c>
      <c r="G118">
        <v>165493.29999999999</v>
      </c>
    </row>
    <row r="119" spans="1:7">
      <c r="A119">
        <v>3062</v>
      </c>
      <c r="B119">
        <v>3067</v>
      </c>
      <c r="C119">
        <v>5</v>
      </c>
      <c r="D119">
        <v>52</v>
      </c>
      <c r="E119">
        <v>12703.5</v>
      </c>
      <c r="F119">
        <v>-770.7</v>
      </c>
      <c r="G119">
        <v>22715.200000000001</v>
      </c>
    </row>
    <row r="120" spans="1:7">
      <c r="A120">
        <v>1571</v>
      </c>
      <c r="B120">
        <v>2878</v>
      </c>
      <c r="C120">
        <v>3</v>
      </c>
      <c r="D120">
        <v>60</v>
      </c>
      <c r="E120">
        <v>12648.7</v>
      </c>
      <c r="F120">
        <v>682.3</v>
      </c>
      <c r="G120">
        <v>10589.3</v>
      </c>
    </row>
    <row r="121" spans="1:7">
      <c r="A121">
        <v>1782</v>
      </c>
      <c r="B121">
        <v>2670</v>
      </c>
      <c r="C121">
        <v>11</v>
      </c>
      <c r="D121">
        <v>58</v>
      </c>
      <c r="E121">
        <v>12586.8</v>
      </c>
      <c r="F121">
        <v>337.7</v>
      </c>
      <c r="G121">
        <v>7942.1</v>
      </c>
    </row>
    <row r="122" spans="1:7">
      <c r="A122">
        <v>721</v>
      </c>
      <c r="B122">
        <v>1449</v>
      </c>
      <c r="C122">
        <v>14</v>
      </c>
      <c r="D122">
        <v>45</v>
      </c>
      <c r="E122">
        <v>12563.4</v>
      </c>
      <c r="F122">
        <v>132.19999999999999</v>
      </c>
      <c r="G122">
        <v>5991.5</v>
      </c>
    </row>
    <row r="123" spans="1:7">
      <c r="A123">
        <v>1670</v>
      </c>
      <c r="B123">
        <v>5193</v>
      </c>
      <c r="C123">
        <v>0</v>
      </c>
      <c r="D123">
        <v>44</v>
      </c>
      <c r="E123">
        <v>12477.8</v>
      </c>
      <c r="F123">
        <v>2333.1999999999998</v>
      </c>
      <c r="G123">
        <v>13216.2</v>
      </c>
    </row>
    <row r="124" spans="1:7">
      <c r="A124">
        <v>2166</v>
      </c>
      <c r="B124">
        <v>5874</v>
      </c>
      <c r="C124">
        <v>1</v>
      </c>
      <c r="D124">
        <v>56</v>
      </c>
      <c r="E124">
        <v>12421.4</v>
      </c>
      <c r="F124">
        <v>1550.1</v>
      </c>
      <c r="G124">
        <v>19784</v>
      </c>
    </row>
    <row r="125" spans="1:7">
      <c r="A125">
        <v>1366</v>
      </c>
      <c r="B125">
        <v>2057</v>
      </c>
      <c r="C125">
        <v>4</v>
      </c>
      <c r="D125">
        <v>47</v>
      </c>
      <c r="E125">
        <v>12378</v>
      </c>
      <c r="F125">
        <v>1508</v>
      </c>
      <c r="G125">
        <v>18407</v>
      </c>
    </row>
    <row r="126" spans="1:7">
      <c r="A126">
        <v>1317</v>
      </c>
      <c r="B126">
        <v>6698</v>
      </c>
      <c r="C126">
        <v>7</v>
      </c>
      <c r="D126">
        <v>51</v>
      </c>
      <c r="E126">
        <v>12297.8</v>
      </c>
      <c r="F126">
        <v>1165.8</v>
      </c>
      <c r="G126">
        <v>11510.3</v>
      </c>
    </row>
    <row r="127" spans="1:7">
      <c r="A127">
        <v>986</v>
      </c>
      <c r="B127">
        <v>1409</v>
      </c>
      <c r="C127">
        <v>3</v>
      </c>
      <c r="D127">
        <v>55</v>
      </c>
      <c r="E127">
        <v>12244.9</v>
      </c>
      <c r="F127">
        <v>482.4</v>
      </c>
      <c r="G127">
        <v>6344.7</v>
      </c>
    </row>
    <row r="128" spans="1:7">
      <c r="A128">
        <v>900</v>
      </c>
      <c r="B128">
        <v>7541</v>
      </c>
      <c r="C128">
        <v>3</v>
      </c>
      <c r="D128">
        <v>57</v>
      </c>
      <c r="E128">
        <v>12048</v>
      </c>
      <c r="F128">
        <v>-73</v>
      </c>
      <c r="G128">
        <v>133115</v>
      </c>
    </row>
    <row r="129" spans="1:7">
      <c r="A129">
        <v>5063</v>
      </c>
      <c r="B129">
        <v>5372</v>
      </c>
      <c r="C129">
        <v>9</v>
      </c>
      <c r="D129">
        <v>57</v>
      </c>
      <c r="E129">
        <v>12021.5</v>
      </c>
      <c r="F129">
        <v>106.2</v>
      </c>
      <c r="G129">
        <v>5842.8</v>
      </c>
    </row>
    <row r="130" spans="1:7">
      <c r="A130">
        <v>2848</v>
      </c>
      <c r="B130">
        <v>5043</v>
      </c>
      <c r="C130">
        <v>10</v>
      </c>
      <c r="D130">
        <v>61</v>
      </c>
      <c r="E130">
        <v>11886</v>
      </c>
      <c r="F130">
        <v>477</v>
      </c>
      <c r="G130">
        <v>7169</v>
      </c>
    </row>
    <row r="131" spans="1:7">
      <c r="A131">
        <v>1516</v>
      </c>
      <c r="B131">
        <v>2410</v>
      </c>
      <c r="C131">
        <v>5</v>
      </c>
      <c r="D131">
        <v>62</v>
      </c>
      <c r="E131">
        <v>11845</v>
      </c>
      <c r="F131">
        <v>237</v>
      </c>
      <c r="G131">
        <v>14216</v>
      </c>
    </row>
    <row r="132" spans="1:7">
      <c r="A132">
        <v>1863</v>
      </c>
      <c r="B132">
        <v>4204</v>
      </c>
      <c r="C132">
        <v>1</v>
      </c>
      <c r="D132">
        <v>52</v>
      </c>
      <c r="E132">
        <v>11549</v>
      </c>
      <c r="F132">
        <v>608</v>
      </c>
      <c r="G132">
        <v>13721</v>
      </c>
    </row>
    <row r="133" spans="1:7">
      <c r="A133">
        <v>1553</v>
      </c>
      <c r="B133">
        <v>1561</v>
      </c>
      <c r="C133">
        <v>13</v>
      </c>
      <c r="D133">
        <v>43</v>
      </c>
      <c r="E133">
        <v>11529</v>
      </c>
      <c r="F133">
        <v>129</v>
      </c>
      <c r="G133">
        <v>3842.1</v>
      </c>
    </row>
    <row r="134" spans="1:7">
      <c r="A134">
        <v>1745</v>
      </c>
      <c r="B134">
        <v>1829</v>
      </c>
      <c r="C134">
        <v>0</v>
      </c>
      <c r="D134">
        <v>48</v>
      </c>
      <c r="E134">
        <v>11494.8</v>
      </c>
      <c r="F134">
        <v>785.6</v>
      </c>
      <c r="G134">
        <v>22848</v>
      </c>
    </row>
    <row r="135" spans="1:7">
      <c r="A135">
        <v>3088</v>
      </c>
      <c r="B135">
        <v>5573</v>
      </c>
      <c r="C135">
        <v>22</v>
      </c>
      <c r="D135">
        <v>67</v>
      </c>
      <c r="E135">
        <v>11488.5</v>
      </c>
      <c r="F135">
        <v>-141.1</v>
      </c>
      <c r="G135">
        <v>19138.5</v>
      </c>
    </row>
    <row r="136" spans="1:7">
      <c r="A136">
        <v>1117</v>
      </c>
      <c r="B136">
        <v>1616</v>
      </c>
      <c r="C136">
        <v>4</v>
      </c>
      <c r="D136">
        <v>58</v>
      </c>
      <c r="E136">
        <v>11403</v>
      </c>
      <c r="F136">
        <v>977</v>
      </c>
      <c r="G136">
        <v>36192</v>
      </c>
    </row>
    <row r="137" spans="1:7">
      <c r="A137">
        <v>1898</v>
      </c>
      <c r="B137">
        <v>1900</v>
      </c>
      <c r="C137">
        <v>4</v>
      </c>
      <c r="D137">
        <v>45</v>
      </c>
      <c r="E137">
        <v>11375.1</v>
      </c>
      <c r="F137">
        <v>316.39999999999998</v>
      </c>
      <c r="G137">
        <v>7655.3</v>
      </c>
    </row>
    <row r="138" spans="1:7">
      <c r="A138">
        <v>2858</v>
      </c>
      <c r="B138">
        <v>10143</v>
      </c>
      <c r="C138">
        <v>24</v>
      </c>
      <c r="D138">
        <v>61</v>
      </c>
      <c r="E138">
        <v>11245.8</v>
      </c>
      <c r="F138">
        <v>1233.3</v>
      </c>
      <c r="G138">
        <v>12484.3</v>
      </c>
    </row>
    <row r="139" spans="1:7">
      <c r="A139">
        <v>981</v>
      </c>
      <c r="B139">
        <v>5028</v>
      </c>
      <c r="C139">
        <v>1</v>
      </c>
      <c r="D139">
        <v>51</v>
      </c>
      <c r="E139">
        <v>11200</v>
      </c>
      <c r="F139">
        <v>-132</v>
      </c>
      <c r="G139">
        <v>7899</v>
      </c>
    </row>
    <row r="140" spans="1:7">
      <c r="A140">
        <v>1711</v>
      </c>
      <c r="B140">
        <v>1717</v>
      </c>
      <c r="C140">
        <v>1</v>
      </c>
      <c r="D140">
        <v>56</v>
      </c>
      <c r="E140">
        <v>10766</v>
      </c>
      <c r="F140">
        <v>294</v>
      </c>
      <c r="G140">
        <v>12834</v>
      </c>
    </row>
    <row r="141" spans="1:7">
      <c r="A141">
        <v>800</v>
      </c>
      <c r="B141">
        <v>2317</v>
      </c>
      <c r="C141">
        <v>2</v>
      </c>
      <c r="D141">
        <v>57</v>
      </c>
      <c r="E141">
        <v>10553</v>
      </c>
      <c r="F141">
        <v>-633</v>
      </c>
      <c r="G141">
        <v>29374</v>
      </c>
    </row>
    <row r="142" spans="1:7">
      <c r="A142">
        <v>2400</v>
      </c>
      <c r="B142">
        <v>3688</v>
      </c>
      <c r="C142">
        <v>12</v>
      </c>
      <c r="D142">
        <v>57</v>
      </c>
      <c r="E142">
        <v>10323</v>
      </c>
      <c r="F142">
        <v>325</v>
      </c>
      <c r="G142">
        <v>7935</v>
      </c>
    </row>
    <row r="143" spans="1:7">
      <c r="A143">
        <v>3201</v>
      </c>
      <c r="B143">
        <v>4568</v>
      </c>
      <c r="C143">
        <v>3</v>
      </c>
      <c r="D143">
        <v>58</v>
      </c>
      <c r="E143">
        <v>10251</v>
      </c>
      <c r="F143">
        <v>764</v>
      </c>
      <c r="G143">
        <v>105107</v>
      </c>
    </row>
    <row r="144" spans="1:7">
      <c r="A144">
        <v>1879</v>
      </c>
      <c r="B144">
        <v>27455</v>
      </c>
      <c r="C144">
        <v>0</v>
      </c>
      <c r="D144">
        <v>53</v>
      </c>
      <c r="E144">
        <v>10213.700000000001</v>
      </c>
      <c r="F144">
        <v>1254</v>
      </c>
      <c r="G144">
        <v>9230.6</v>
      </c>
    </row>
    <row r="145" spans="1:7">
      <c r="A145">
        <v>1860</v>
      </c>
      <c r="B145">
        <v>2886</v>
      </c>
      <c r="C145">
        <v>9</v>
      </c>
      <c r="D145">
        <v>55</v>
      </c>
      <c r="E145">
        <v>10208</v>
      </c>
      <c r="F145">
        <v>668</v>
      </c>
      <c r="G145">
        <v>24698</v>
      </c>
    </row>
    <row r="146" spans="1:7">
      <c r="A146">
        <v>1245</v>
      </c>
      <c r="B146">
        <v>1327</v>
      </c>
      <c r="C146">
        <v>0</v>
      </c>
      <c r="D146">
        <v>61</v>
      </c>
      <c r="E146">
        <v>10056</v>
      </c>
      <c r="F146">
        <v>1081</v>
      </c>
      <c r="G146">
        <v>11902</v>
      </c>
    </row>
    <row r="147" spans="1:7">
      <c r="A147">
        <v>2675</v>
      </c>
      <c r="B147">
        <v>11842</v>
      </c>
      <c r="C147">
        <v>1</v>
      </c>
      <c r="D147">
        <v>50</v>
      </c>
      <c r="E147">
        <v>10051.299999999999</v>
      </c>
      <c r="F147">
        <v>2097.9</v>
      </c>
      <c r="G147">
        <v>12595.5</v>
      </c>
    </row>
    <row r="148" spans="1:7">
      <c r="A148">
        <v>4392</v>
      </c>
      <c r="B148">
        <v>7993</v>
      </c>
      <c r="C148">
        <v>17</v>
      </c>
      <c r="D148">
        <v>59</v>
      </c>
      <c r="E148">
        <v>10002</v>
      </c>
      <c r="F148">
        <v>1532</v>
      </c>
      <c r="G148">
        <v>104382</v>
      </c>
    </row>
    <row r="149" spans="1:7">
      <c r="A149">
        <v>1100</v>
      </c>
      <c r="B149">
        <v>4212</v>
      </c>
      <c r="C149">
        <v>10</v>
      </c>
      <c r="D149">
        <v>59</v>
      </c>
      <c r="E149">
        <v>9898</v>
      </c>
      <c r="F149">
        <v>537</v>
      </c>
      <c r="G149">
        <v>20427</v>
      </c>
    </row>
    <row r="150" spans="1:7">
      <c r="A150">
        <v>2718</v>
      </c>
      <c r="B150">
        <v>2874</v>
      </c>
      <c r="C150">
        <v>6</v>
      </c>
      <c r="D150">
        <v>55</v>
      </c>
      <c r="E150">
        <v>9895</v>
      </c>
      <c r="F150">
        <v>261</v>
      </c>
      <c r="G150">
        <v>12833</v>
      </c>
    </row>
    <row r="151" spans="1:7">
      <c r="A151">
        <v>1698</v>
      </c>
      <c r="B151">
        <v>48018</v>
      </c>
      <c r="C151">
        <v>15</v>
      </c>
      <c r="D151">
        <v>44</v>
      </c>
      <c r="E151">
        <v>9790.7999999999993</v>
      </c>
      <c r="F151">
        <v>762.9</v>
      </c>
      <c r="G151">
        <v>5711.1</v>
      </c>
    </row>
    <row r="152" spans="1:7">
      <c r="A152">
        <v>1498</v>
      </c>
      <c r="B152">
        <v>2346</v>
      </c>
      <c r="C152">
        <v>1</v>
      </c>
      <c r="D152">
        <v>43</v>
      </c>
      <c r="E152">
        <v>9781</v>
      </c>
      <c r="F152">
        <v>129</v>
      </c>
      <c r="G152">
        <v>5217</v>
      </c>
    </row>
    <row r="153" spans="1:7">
      <c r="A153">
        <v>1104</v>
      </c>
      <c r="B153">
        <v>1679</v>
      </c>
      <c r="C153">
        <v>35</v>
      </c>
      <c r="D153">
        <v>61</v>
      </c>
      <c r="E153">
        <v>9553.1</v>
      </c>
      <c r="F153">
        <v>399.6</v>
      </c>
      <c r="G153">
        <v>5397.4</v>
      </c>
    </row>
    <row r="154" spans="1:7">
      <c r="A154">
        <v>2054</v>
      </c>
      <c r="B154">
        <v>5191</v>
      </c>
      <c r="C154">
        <v>6</v>
      </c>
      <c r="D154">
        <v>51</v>
      </c>
      <c r="E154">
        <v>9521.5</v>
      </c>
      <c r="F154">
        <v>202.4</v>
      </c>
      <c r="G154">
        <v>4630.8999999999996</v>
      </c>
    </row>
    <row r="155" spans="1:7">
      <c r="A155">
        <v>2565</v>
      </c>
      <c r="B155">
        <v>3073</v>
      </c>
      <c r="C155">
        <v>36</v>
      </c>
      <c r="D155">
        <v>61</v>
      </c>
      <c r="E155">
        <v>9346.9</v>
      </c>
      <c r="F155">
        <v>2053.6</v>
      </c>
      <c r="G155">
        <v>4549.7</v>
      </c>
    </row>
    <row r="156" spans="1:7">
      <c r="A156">
        <v>2140</v>
      </c>
      <c r="B156">
        <v>9780</v>
      </c>
      <c r="C156">
        <v>1</v>
      </c>
      <c r="D156">
        <v>50</v>
      </c>
      <c r="E156">
        <v>9209.2999999999993</v>
      </c>
      <c r="F156">
        <v>801.6</v>
      </c>
      <c r="G156">
        <v>8023.4</v>
      </c>
    </row>
    <row r="157" spans="1:7">
      <c r="A157">
        <v>856</v>
      </c>
      <c r="B157">
        <v>1548</v>
      </c>
      <c r="C157">
        <v>9</v>
      </c>
      <c r="D157">
        <v>62</v>
      </c>
      <c r="E157">
        <v>9108.4</v>
      </c>
      <c r="F157">
        <v>89.3</v>
      </c>
      <c r="G157">
        <v>38322.699999999997</v>
      </c>
    </row>
    <row r="158" spans="1:7">
      <c r="A158">
        <v>4000</v>
      </c>
      <c r="B158">
        <v>201939</v>
      </c>
      <c r="C158">
        <v>0</v>
      </c>
      <c r="D158">
        <v>55</v>
      </c>
      <c r="E158">
        <v>9061</v>
      </c>
      <c r="F158">
        <v>-21</v>
      </c>
      <c r="G158">
        <v>20139</v>
      </c>
    </row>
    <row r="159" spans="1:7">
      <c r="A159">
        <v>1229</v>
      </c>
      <c r="B159">
        <v>1573</v>
      </c>
      <c r="C159">
        <v>11</v>
      </c>
      <c r="D159">
        <v>59</v>
      </c>
      <c r="E159">
        <v>9059.4</v>
      </c>
      <c r="F159">
        <v>115.5</v>
      </c>
      <c r="G159">
        <v>5677.3</v>
      </c>
    </row>
    <row r="160" spans="1:7">
      <c r="A160">
        <v>7312</v>
      </c>
      <c r="B160">
        <v>84446</v>
      </c>
      <c r="C160">
        <v>4</v>
      </c>
      <c r="D160">
        <v>54</v>
      </c>
      <c r="E160">
        <v>9054.5</v>
      </c>
      <c r="F160">
        <v>824.5</v>
      </c>
      <c r="G160">
        <v>3963.9</v>
      </c>
    </row>
    <row r="161" spans="1:7">
      <c r="A161">
        <v>500</v>
      </c>
      <c r="B161">
        <v>17360</v>
      </c>
      <c r="C161">
        <v>9</v>
      </c>
      <c r="D161">
        <v>56</v>
      </c>
      <c r="E161">
        <v>9044.7999999999993</v>
      </c>
      <c r="F161">
        <v>-285.5</v>
      </c>
      <c r="G161">
        <v>10280.799999999999</v>
      </c>
    </row>
    <row r="162" spans="1:7">
      <c r="A162">
        <v>3034</v>
      </c>
      <c r="B162">
        <v>3249</v>
      </c>
      <c r="C162">
        <v>11</v>
      </c>
      <c r="D162">
        <v>53</v>
      </c>
      <c r="E162">
        <v>8997.7000000000007</v>
      </c>
      <c r="F162">
        <v>233.2</v>
      </c>
      <c r="G162">
        <v>4113</v>
      </c>
    </row>
    <row r="163" spans="1:7">
      <c r="A163">
        <v>3456</v>
      </c>
      <c r="B163">
        <v>60297</v>
      </c>
      <c r="C163">
        <v>15</v>
      </c>
      <c r="D163">
        <v>60</v>
      </c>
      <c r="E163">
        <v>8971.6</v>
      </c>
      <c r="F163">
        <v>848.6</v>
      </c>
      <c r="G163">
        <v>7685.2</v>
      </c>
    </row>
    <row r="164" spans="1:7">
      <c r="A164">
        <v>566</v>
      </c>
      <c r="B164">
        <v>6184</v>
      </c>
      <c r="C164">
        <v>12</v>
      </c>
      <c r="D164">
        <v>57</v>
      </c>
      <c r="E164">
        <v>8941</v>
      </c>
      <c r="F164">
        <v>1155</v>
      </c>
      <c r="G164">
        <v>22690</v>
      </c>
    </row>
    <row r="165" spans="1:7">
      <c r="A165">
        <v>900</v>
      </c>
      <c r="B165">
        <v>956</v>
      </c>
      <c r="C165">
        <v>9</v>
      </c>
      <c r="D165">
        <v>61</v>
      </c>
      <c r="E165">
        <v>8902</v>
      </c>
      <c r="F165">
        <v>214</v>
      </c>
      <c r="G165">
        <v>9564</v>
      </c>
    </row>
    <row r="166" spans="1:7">
      <c r="A166">
        <v>500</v>
      </c>
      <c r="B166">
        <v>501</v>
      </c>
      <c r="C166">
        <v>1</v>
      </c>
      <c r="D166">
        <v>45</v>
      </c>
      <c r="E166">
        <v>8896.1</v>
      </c>
      <c r="F166">
        <v>-165.2</v>
      </c>
      <c r="G166">
        <v>3929.5</v>
      </c>
    </row>
    <row r="167" spans="1:7">
      <c r="A167">
        <v>2180</v>
      </c>
      <c r="B167">
        <v>11902</v>
      </c>
      <c r="C167">
        <v>13</v>
      </c>
      <c r="D167">
        <v>52</v>
      </c>
      <c r="E167">
        <v>8870.7999999999993</v>
      </c>
      <c r="F167">
        <v>104.3</v>
      </c>
      <c r="G167">
        <v>3231.7</v>
      </c>
    </row>
    <row r="168" spans="1:7">
      <c r="A168">
        <v>2097</v>
      </c>
      <c r="B168">
        <v>2100</v>
      </c>
      <c r="C168">
        <v>23</v>
      </c>
      <c r="D168">
        <v>71</v>
      </c>
      <c r="E168">
        <v>8814.2999999999993</v>
      </c>
      <c r="F168">
        <v>75.7</v>
      </c>
      <c r="G168">
        <v>2381.1</v>
      </c>
    </row>
    <row r="169" spans="1:7">
      <c r="A169">
        <v>3188</v>
      </c>
      <c r="B169">
        <v>3422</v>
      </c>
      <c r="C169">
        <v>5</v>
      </c>
      <c r="D169">
        <v>51</v>
      </c>
      <c r="E169">
        <v>8707.6</v>
      </c>
      <c r="F169">
        <v>524.1</v>
      </c>
      <c r="G169">
        <v>52892.7</v>
      </c>
    </row>
    <row r="170" spans="1:7">
      <c r="A170">
        <v>1134</v>
      </c>
      <c r="B170">
        <v>7996</v>
      </c>
      <c r="C170">
        <v>0</v>
      </c>
      <c r="D170">
        <v>46</v>
      </c>
      <c r="E170">
        <v>8688</v>
      </c>
      <c r="F170">
        <v>538</v>
      </c>
      <c r="G170">
        <v>7870</v>
      </c>
    </row>
    <row r="171" spans="1:7">
      <c r="A171">
        <v>1600</v>
      </c>
      <c r="B171">
        <v>22881</v>
      </c>
      <c r="C171">
        <v>4</v>
      </c>
      <c r="D171">
        <v>60</v>
      </c>
      <c r="E171">
        <v>8648</v>
      </c>
      <c r="F171">
        <v>-250</v>
      </c>
      <c r="G171">
        <v>16724</v>
      </c>
    </row>
    <row r="172" spans="1:7">
      <c r="A172">
        <v>821</v>
      </c>
      <c r="B172">
        <v>908</v>
      </c>
      <c r="C172">
        <v>2</v>
      </c>
      <c r="D172">
        <v>52</v>
      </c>
      <c r="E172">
        <v>8575.4</v>
      </c>
      <c r="F172">
        <v>50.5</v>
      </c>
      <c r="G172">
        <v>1552.3</v>
      </c>
    </row>
    <row r="173" spans="1:7">
      <c r="A173">
        <v>750</v>
      </c>
      <c r="B173">
        <v>763</v>
      </c>
      <c r="C173">
        <v>6</v>
      </c>
      <c r="D173">
        <v>40</v>
      </c>
      <c r="E173">
        <v>8545.7999999999993</v>
      </c>
      <c r="F173">
        <v>45.7</v>
      </c>
      <c r="G173">
        <v>3572.1</v>
      </c>
    </row>
    <row r="174" spans="1:7">
      <c r="A174">
        <v>3600</v>
      </c>
      <c r="B174">
        <v>3840</v>
      </c>
      <c r="C174">
        <v>2</v>
      </c>
      <c r="D174">
        <v>73</v>
      </c>
      <c r="E174">
        <v>8468</v>
      </c>
      <c r="F174">
        <v>445</v>
      </c>
      <c r="G174">
        <v>4531</v>
      </c>
    </row>
    <row r="175" spans="1:7">
      <c r="A175">
        <v>2478</v>
      </c>
      <c r="B175">
        <v>2652</v>
      </c>
      <c r="C175">
        <v>3</v>
      </c>
      <c r="D175">
        <v>46</v>
      </c>
      <c r="E175">
        <v>8460</v>
      </c>
      <c r="F175">
        <v>407</v>
      </c>
      <c r="G175">
        <v>11250</v>
      </c>
    </row>
    <row r="176" spans="1:7">
      <c r="A176">
        <v>891</v>
      </c>
      <c r="B176">
        <v>892</v>
      </c>
      <c r="C176">
        <v>4</v>
      </c>
      <c r="D176">
        <v>49</v>
      </c>
      <c r="E176">
        <v>8458.7999999999993</v>
      </c>
      <c r="F176">
        <v>1350.1</v>
      </c>
      <c r="G176">
        <v>8916.7000000000007</v>
      </c>
    </row>
    <row r="177" spans="1:7">
      <c r="A177">
        <v>2029</v>
      </c>
      <c r="B177">
        <v>9942</v>
      </c>
      <c r="C177">
        <v>6</v>
      </c>
      <c r="D177">
        <v>58</v>
      </c>
      <c r="E177">
        <v>8426.7000000000007</v>
      </c>
      <c r="F177">
        <v>572</v>
      </c>
      <c r="G177">
        <v>7170.4</v>
      </c>
    </row>
    <row r="178" spans="1:7">
      <c r="A178">
        <v>2527</v>
      </c>
      <c r="B178">
        <v>7834</v>
      </c>
      <c r="C178">
        <v>9</v>
      </c>
      <c r="D178">
        <v>59</v>
      </c>
      <c r="E178">
        <v>8374</v>
      </c>
      <c r="F178">
        <v>624</v>
      </c>
      <c r="G178">
        <v>6435</v>
      </c>
    </row>
    <row r="179" spans="1:7">
      <c r="A179">
        <v>1587</v>
      </c>
      <c r="B179">
        <v>7018</v>
      </c>
      <c r="C179">
        <v>33</v>
      </c>
      <c r="D179">
        <v>58</v>
      </c>
      <c r="E179">
        <v>8358.2000000000007</v>
      </c>
      <c r="F179">
        <v>94.5</v>
      </c>
      <c r="G179">
        <v>2056.3000000000002</v>
      </c>
    </row>
    <row r="180" spans="1:7">
      <c r="A180">
        <v>1088</v>
      </c>
      <c r="B180">
        <v>1150</v>
      </c>
      <c r="C180">
        <v>0</v>
      </c>
      <c r="D180">
        <v>56</v>
      </c>
      <c r="E180">
        <v>8346.5</v>
      </c>
      <c r="F180">
        <v>-78.099999999999994</v>
      </c>
      <c r="G180">
        <v>5315</v>
      </c>
    </row>
    <row r="181" spans="1:7">
      <c r="A181">
        <v>1025</v>
      </c>
      <c r="B181">
        <v>1346</v>
      </c>
      <c r="C181">
        <v>13</v>
      </c>
      <c r="D181">
        <v>57</v>
      </c>
      <c r="E181">
        <v>8344.7000000000007</v>
      </c>
      <c r="F181">
        <v>145.80000000000001</v>
      </c>
      <c r="G181">
        <v>3839.9</v>
      </c>
    </row>
    <row r="182" spans="1:7">
      <c r="A182">
        <v>1576</v>
      </c>
      <c r="B182">
        <v>1578</v>
      </c>
      <c r="C182">
        <v>10</v>
      </c>
      <c r="D182">
        <v>58</v>
      </c>
      <c r="E182">
        <v>8300</v>
      </c>
      <c r="F182">
        <v>105.1</v>
      </c>
      <c r="G182">
        <v>12469</v>
      </c>
    </row>
    <row r="183" spans="1:7">
      <c r="A183">
        <v>2458</v>
      </c>
      <c r="B183">
        <v>3644</v>
      </c>
      <c r="C183">
        <v>6</v>
      </c>
      <c r="D183">
        <v>63</v>
      </c>
      <c r="E183">
        <v>8291.5</v>
      </c>
      <c r="F183">
        <v>509.1</v>
      </c>
      <c r="G183">
        <v>8309.5</v>
      </c>
    </row>
    <row r="184" spans="1:7">
      <c r="A184">
        <v>2748</v>
      </c>
      <c r="B184">
        <v>29139</v>
      </c>
      <c r="C184">
        <v>3</v>
      </c>
      <c r="D184">
        <v>57</v>
      </c>
      <c r="E184">
        <v>8077</v>
      </c>
      <c r="F184">
        <v>1756</v>
      </c>
      <c r="G184">
        <v>7840</v>
      </c>
    </row>
    <row r="185" spans="1:7">
      <c r="A185">
        <v>1393</v>
      </c>
      <c r="B185">
        <v>6528</v>
      </c>
      <c r="C185">
        <v>4</v>
      </c>
      <c r="D185">
        <v>53</v>
      </c>
      <c r="E185">
        <v>8070.8</v>
      </c>
      <c r="F185">
        <v>1070.7</v>
      </c>
      <c r="G185">
        <v>88245.6</v>
      </c>
    </row>
    <row r="186" spans="1:7">
      <c r="A186">
        <v>775</v>
      </c>
      <c r="B186">
        <v>797</v>
      </c>
      <c r="C186">
        <v>2</v>
      </c>
      <c r="D186">
        <v>59</v>
      </c>
      <c r="E186">
        <v>8025</v>
      </c>
      <c r="F186">
        <v>-427</v>
      </c>
      <c r="G186">
        <v>7170</v>
      </c>
    </row>
    <row r="187" spans="1:7">
      <c r="A187">
        <v>1860</v>
      </c>
      <c r="B187">
        <v>2034</v>
      </c>
      <c r="C187">
        <v>60</v>
      </c>
      <c r="D187">
        <v>84</v>
      </c>
      <c r="E187">
        <v>8012</v>
      </c>
      <c r="F187">
        <v>135</v>
      </c>
      <c r="G187">
        <v>8178</v>
      </c>
    </row>
    <row r="188" spans="1:7">
      <c r="A188">
        <v>10372</v>
      </c>
      <c r="B188">
        <v>27176</v>
      </c>
      <c r="C188">
        <v>6</v>
      </c>
      <c r="D188">
        <v>65</v>
      </c>
      <c r="E188">
        <v>7979.9</v>
      </c>
      <c r="F188">
        <v>660.4</v>
      </c>
      <c r="G188">
        <v>154495.9</v>
      </c>
    </row>
    <row r="189" spans="1:7">
      <c r="A189">
        <v>1951</v>
      </c>
      <c r="B189">
        <v>5592</v>
      </c>
      <c r="C189">
        <v>26</v>
      </c>
      <c r="D189">
        <v>67</v>
      </c>
      <c r="E189">
        <v>7968</v>
      </c>
      <c r="F189">
        <v>390</v>
      </c>
      <c r="G189">
        <v>6233</v>
      </c>
    </row>
    <row r="190" spans="1:7">
      <c r="A190">
        <v>2147</v>
      </c>
      <c r="B190">
        <v>2149</v>
      </c>
      <c r="C190">
        <v>5</v>
      </c>
      <c r="D190">
        <v>57</v>
      </c>
      <c r="E190">
        <v>7951</v>
      </c>
      <c r="F190">
        <v>383</v>
      </c>
      <c r="G190">
        <v>7086</v>
      </c>
    </row>
    <row r="191" spans="1:7">
      <c r="A191">
        <v>3374</v>
      </c>
      <c r="B191">
        <v>4939</v>
      </c>
      <c r="C191">
        <v>10</v>
      </c>
      <c r="D191">
        <v>59</v>
      </c>
      <c r="E191">
        <v>7949.1</v>
      </c>
      <c r="F191">
        <v>424.2</v>
      </c>
      <c r="G191">
        <v>2747.8</v>
      </c>
    </row>
    <row r="192" spans="1:7">
      <c r="A192">
        <v>3515</v>
      </c>
      <c r="B192">
        <v>18407</v>
      </c>
      <c r="C192">
        <v>14</v>
      </c>
      <c r="D192">
        <v>62</v>
      </c>
      <c r="E192">
        <v>7936</v>
      </c>
      <c r="F192">
        <v>1115</v>
      </c>
      <c r="G192">
        <v>77207</v>
      </c>
    </row>
    <row r="193" spans="1:7">
      <c r="A193">
        <v>1561</v>
      </c>
      <c r="B193">
        <v>1809</v>
      </c>
      <c r="C193">
        <v>2</v>
      </c>
      <c r="D193">
        <v>45</v>
      </c>
      <c r="E193">
        <v>7894.8</v>
      </c>
      <c r="F193">
        <v>416.8</v>
      </c>
      <c r="G193">
        <v>6794.8</v>
      </c>
    </row>
    <row r="194" spans="1:7">
      <c r="A194">
        <v>1617</v>
      </c>
      <c r="B194">
        <v>1871</v>
      </c>
      <c r="C194">
        <v>4</v>
      </c>
      <c r="D194">
        <v>61</v>
      </c>
      <c r="E194">
        <v>7885</v>
      </c>
      <c r="F194">
        <v>299</v>
      </c>
      <c r="G194">
        <v>6178</v>
      </c>
    </row>
    <row r="195" spans="1:7">
      <c r="A195">
        <v>15250</v>
      </c>
      <c r="B195">
        <v>124579</v>
      </c>
      <c r="C195">
        <v>20</v>
      </c>
      <c r="D195">
        <v>53</v>
      </c>
      <c r="E195">
        <v>7716</v>
      </c>
      <c r="F195">
        <v>588.1</v>
      </c>
      <c r="G195">
        <v>43599.9</v>
      </c>
    </row>
    <row r="196" spans="1:7">
      <c r="A196">
        <v>2340</v>
      </c>
      <c r="B196">
        <v>22533</v>
      </c>
      <c r="C196">
        <v>9</v>
      </c>
      <c r="D196">
        <v>60</v>
      </c>
      <c r="E196">
        <v>7664</v>
      </c>
      <c r="F196">
        <v>1327.4</v>
      </c>
      <c r="G196">
        <v>76438</v>
      </c>
    </row>
    <row r="197" spans="1:7">
      <c r="A197">
        <v>975</v>
      </c>
      <c r="B197">
        <v>15458</v>
      </c>
      <c r="C197">
        <v>5</v>
      </c>
      <c r="D197">
        <v>57</v>
      </c>
      <c r="E197">
        <v>7658.3</v>
      </c>
      <c r="F197">
        <v>127.5</v>
      </c>
      <c r="G197">
        <v>18647.3</v>
      </c>
    </row>
    <row r="198" spans="1:7">
      <c r="A198">
        <v>1294</v>
      </c>
      <c r="B198">
        <v>6053</v>
      </c>
      <c r="C198">
        <v>32</v>
      </c>
      <c r="D198">
        <v>58</v>
      </c>
      <c r="E198">
        <v>7623.1</v>
      </c>
      <c r="F198">
        <v>19.100000000000001</v>
      </c>
      <c r="G198">
        <v>1294.4000000000001</v>
      </c>
    </row>
    <row r="199" spans="1:7">
      <c r="A199">
        <v>2769</v>
      </c>
      <c r="B199">
        <v>9343</v>
      </c>
      <c r="C199">
        <v>4</v>
      </c>
      <c r="D199">
        <v>56</v>
      </c>
      <c r="E199">
        <v>7609</v>
      </c>
      <c r="F199">
        <v>792</v>
      </c>
      <c r="G199">
        <v>73513</v>
      </c>
    </row>
    <row r="200" spans="1:7">
      <c r="A200">
        <v>1570</v>
      </c>
      <c r="B200">
        <v>1972</v>
      </c>
      <c r="C200">
        <v>5</v>
      </c>
      <c r="D200">
        <v>63</v>
      </c>
      <c r="E200">
        <v>7605</v>
      </c>
      <c r="F200">
        <v>255</v>
      </c>
      <c r="G200">
        <v>8791</v>
      </c>
    </row>
    <row r="201" spans="1:7">
      <c r="A201">
        <v>2294</v>
      </c>
      <c r="B201">
        <v>3038</v>
      </c>
      <c r="C201">
        <v>3</v>
      </c>
      <c r="D201">
        <v>54</v>
      </c>
      <c r="E201">
        <v>7523.1</v>
      </c>
      <c r="F201">
        <v>1532.5</v>
      </c>
      <c r="G201">
        <v>5024</v>
      </c>
    </row>
    <row r="202" spans="1:7">
      <c r="A202">
        <v>1735</v>
      </c>
      <c r="B202">
        <v>3052</v>
      </c>
      <c r="C202">
        <v>2</v>
      </c>
      <c r="D202">
        <v>52</v>
      </c>
      <c r="E202">
        <v>7510</v>
      </c>
      <c r="F202">
        <v>801</v>
      </c>
      <c r="G202">
        <v>7837</v>
      </c>
    </row>
    <row r="203" spans="1:7">
      <c r="A203">
        <v>1894</v>
      </c>
      <c r="B203">
        <v>5185</v>
      </c>
      <c r="C203">
        <v>2</v>
      </c>
      <c r="D203">
        <v>50</v>
      </c>
      <c r="E203">
        <v>7505</v>
      </c>
      <c r="F203">
        <v>660</v>
      </c>
      <c r="G203">
        <v>5633</v>
      </c>
    </row>
    <row r="204" spans="1:7">
      <c r="A204">
        <v>1800</v>
      </c>
      <c r="B204">
        <v>1800</v>
      </c>
      <c r="C204">
        <v>14</v>
      </c>
      <c r="D204">
        <v>36</v>
      </c>
      <c r="E204">
        <v>7467.9</v>
      </c>
      <c r="F204">
        <v>346.4</v>
      </c>
      <c r="G204">
        <v>2890.4</v>
      </c>
    </row>
    <row r="205" spans="1:7">
      <c r="A205">
        <v>850</v>
      </c>
      <c r="B205">
        <v>908</v>
      </c>
      <c r="C205">
        <v>3</v>
      </c>
      <c r="D205">
        <v>70</v>
      </c>
      <c r="E205">
        <v>7417.3</v>
      </c>
      <c r="F205">
        <v>-231.8</v>
      </c>
      <c r="G205">
        <v>1966.7</v>
      </c>
    </row>
    <row r="206" spans="1:7">
      <c r="A206">
        <v>531</v>
      </c>
      <c r="B206">
        <v>568</v>
      </c>
      <c r="C206">
        <v>1</v>
      </c>
      <c r="D206">
        <v>49</v>
      </c>
      <c r="E206">
        <v>7414.1</v>
      </c>
      <c r="F206">
        <v>25.1</v>
      </c>
      <c r="G206">
        <v>5242.5</v>
      </c>
    </row>
    <row r="207" spans="1:7">
      <c r="A207">
        <v>942</v>
      </c>
      <c r="B207">
        <v>2222</v>
      </c>
      <c r="C207">
        <v>1</v>
      </c>
      <c r="D207">
        <v>53</v>
      </c>
      <c r="E207">
        <v>7392.1</v>
      </c>
      <c r="F207">
        <v>971</v>
      </c>
      <c r="G207">
        <v>93169.9</v>
      </c>
    </row>
    <row r="208" spans="1:7">
      <c r="A208">
        <v>3300</v>
      </c>
      <c r="B208">
        <v>7467</v>
      </c>
      <c r="C208">
        <v>2</v>
      </c>
      <c r="D208">
        <v>60</v>
      </c>
      <c r="E208">
        <v>7351</v>
      </c>
      <c r="F208">
        <v>1943</v>
      </c>
      <c r="G208">
        <v>41851</v>
      </c>
    </row>
    <row r="209" spans="1:7">
      <c r="A209">
        <v>2345</v>
      </c>
      <c r="B209">
        <v>5621</v>
      </c>
      <c r="C209">
        <v>4</v>
      </c>
      <c r="D209">
        <v>51</v>
      </c>
      <c r="E209">
        <v>7301.1</v>
      </c>
      <c r="F209">
        <v>497.6</v>
      </c>
      <c r="G209">
        <v>7792.3</v>
      </c>
    </row>
    <row r="210" spans="1:7">
      <c r="A210">
        <v>8088</v>
      </c>
      <c r="B210">
        <v>8897</v>
      </c>
      <c r="C210">
        <v>19</v>
      </c>
      <c r="D210">
        <v>64</v>
      </c>
      <c r="E210">
        <v>7249.6</v>
      </c>
      <c r="F210">
        <v>433.6</v>
      </c>
      <c r="G210">
        <v>54175.9</v>
      </c>
    </row>
    <row r="211" spans="1:7">
      <c r="A211">
        <v>3000</v>
      </c>
      <c r="B211">
        <v>7418</v>
      </c>
      <c r="C211">
        <v>2</v>
      </c>
      <c r="D211">
        <v>59</v>
      </c>
      <c r="E211">
        <v>7208.4</v>
      </c>
      <c r="F211">
        <v>387</v>
      </c>
      <c r="G211">
        <v>5577.7</v>
      </c>
    </row>
    <row r="212" spans="1:7">
      <c r="A212">
        <v>2700</v>
      </c>
      <c r="B212">
        <v>3271</v>
      </c>
      <c r="C212">
        <v>7</v>
      </c>
      <c r="D212">
        <v>65</v>
      </c>
      <c r="E212">
        <v>7190</v>
      </c>
      <c r="F212">
        <v>796</v>
      </c>
      <c r="G212">
        <v>11871</v>
      </c>
    </row>
    <row r="213" spans="1:7">
      <c r="A213">
        <v>1500</v>
      </c>
      <c r="B213">
        <v>4786</v>
      </c>
      <c r="C213">
        <v>1</v>
      </c>
      <c r="D213">
        <v>53</v>
      </c>
      <c r="E213">
        <v>7151.3</v>
      </c>
      <c r="F213">
        <v>510.2</v>
      </c>
      <c r="G213">
        <v>25707.1</v>
      </c>
    </row>
    <row r="214" spans="1:7">
      <c r="A214">
        <v>1530</v>
      </c>
      <c r="B214">
        <v>1530</v>
      </c>
      <c r="C214">
        <v>22</v>
      </c>
      <c r="D214">
        <v>54</v>
      </c>
      <c r="E214">
        <v>7143.9</v>
      </c>
      <c r="F214">
        <v>813.7</v>
      </c>
      <c r="G214">
        <v>5819</v>
      </c>
    </row>
    <row r="215" spans="1:7">
      <c r="A215">
        <v>1123</v>
      </c>
      <c r="B215">
        <v>1180</v>
      </c>
      <c r="C215">
        <v>4</v>
      </c>
      <c r="D215">
        <v>54</v>
      </c>
      <c r="E215">
        <v>7125.2</v>
      </c>
      <c r="F215">
        <v>444.4</v>
      </c>
      <c r="G215">
        <v>12304.1</v>
      </c>
    </row>
    <row r="216" spans="1:7">
      <c r="A216">
        <v>1320</v>
      </c>
      <c r="B216">
        <v>66485</v>
      </c>
      <c r="C216">
        <v>13</v>
      </c>
      <c r="D216">
        <v>50</v>
      </c>
      <c r="E216">
        <v>7123.2</v>
      </c>
      <c r="F216">
        <v>185.4</v>
      </c>
      <c r="G216">
        <v>3179.3</v>
      </c>
    </row>
    <row r="217" spans="1:7">
      <c r="A217">
        <v>1990</v>
      </c>
      <c r="B217">
        <v>16632</v>
      </c>
      <c r="C217">
        <v>9</v>
      </c>
      <c r="D217">
        <v>47</v>
      </c>
      <c r="E217">
        <v>7104.2</v>
      </c>
      <c r="F217">
        <v>486.8</v>
      </c>
      <c r="G217">
        <v>31183.4</v>
      </c>
    </row>
    <row r="218" spans="1:7">
      <c r="A218">
        <v>2068</v>
      </c>
      <c r="B218">
        <v>5065</v>
      </c>
      <c r="C218">
        <v>4</v>
      </c>
      <c r="D218">
        <v>55</v>
      </c>
      <c r="E218">
        <v>7100</v>
      </c>
      <c r="F218">
        <v>996</v>
      </c>
      <c r="G218">
        <v>80020</v>
      </c>
    </row>
    <row r="219" spans="1:7">
      <c r="A219">
        <v>1460</v>
      </c>
      <c r="B219">
        <v>1504</v>
      </c>
      <c r="C219">
        <v>9</v>
      </c>
      <c r="D219">
        <v>57</v>
      </c>
      <c r="E219">
        <v>7093</v>
      </c>
      <c r="F219">
        <v>729.7</v>
      </c>
      <c r="G219">
        <v>14381.4</v>
      </c>
    </row>
    <row r="220" spans="1:7">
      <c r="A220">
        <v>1752</v>
      </c>
      <c r="B220">
        <v>2471</v>
      </c>
      <c r="C220">
        <v>8</v>
      </c>
      <c r="D220">
        <v>61</v>
      </c>
      <c r="E220">
        <v>7024</v>
      </c>
      <c r="F220">
        <v>280</v>
      </c>
      <c r="G220">
        <v>4849</v>
      </c>
    </row>
    <row r="221" spans="1:7">
      <c r="A221">
        <v>1000</v>
      </c>
      <c r="B221">
        <v>1000</v>
      </c>
      <c r="C221">
        <v>1</v>
      </c>
      <c r="D221">
        <v>50</v>
      </c>
      <c r="E221">
        <v>7003.6</v>
      </c>
      <c r="F221">
        <v>-1260.5</v>
      </c>
      <c r="G221">
        <v>1181.8</v>
      </c>
    </row>
    <row r="222" spans="1:7">
      <c r="A222">
        <v>1919</v>
      </c>
      <c r="B222">
        <v>2663</v>
      </c>
      <c r="C222">
        <v>3</v>
      </c>
      <c r="D222">
        <v>56</v>
      </c>
      <c r="E222">
        <v>6933</v>
      </c>
      <c r="F222">
        <v>203</v>
      </c>
      <c r="G222">
        <v>6082</v>
      </c>
    </row>
    <row r="223" spans="1:7">
      <c r="A223">
        <v>2226</v>
      </c>
      <c r="B223">
        <v>15576</v>
      </c>
      <c r="C223">
        <v>2</v>
      </c>
      <c r="D223">
        <v>53</v>
      </c>
      <c r="E223">
        <v>6893</v>
      </c>
      <c r="F223">
        <v>691</v>
      </c>
      <c r="G223">
        <v>10312</v>
      </c>
    </row>
    <row r="224" spans="1:7">
      <c r="A224">
        <v>618</v>
      </c>
      <c r="B224">
        <v>638</v>
      </c>
      <c r="C224">
        <v>1</v>
      </c>
      <c r="D224">
        <v>42</v>
      </c>
      <c r="E224">
        <v>6819</v>
      </c>
      <c r="F224">
        <v>-530</v>
      </c>
      <c r="G224">
        <v>5645</v>
      </c>
    </row>
    <row r="225" spans="1:7">
      <c r="A225">
        <v>2158</v>
      </c>
      <c r="B225">
        <v>2183</v>
      </c>
      <c r="C225">
        <v>38</v>
      </c>
      <c r="D225">
        <v>65</v>
      </c>
      <c r="E225">
        <v>6805.9</v>
      </c>
      <c r="F225">
        <v>145.1</v>
      </c>
      <c r="G225">
        <v>1944.7</v>
      </c>
    </row>
    <row r="226" spans="1:7">
      <c r="A226">
        <v>528</v>
      </c>
      <c r="B226">
        <v>1370</v>
      </c>
      <c r="C226">
        <v>0</v>
      </c>
      <c r="D226">
        <v>45</v>
      </c>
      <c r="E226">
        <v>6762.1</v>
      </c>
      <c r="F226">
        <v>502.6</v>
      </c>
      <c r="G226">
        <v>5051.5</v>
      </c>
    </row>
    <row r="227" spans="1:7">
      <c r="A227">
        <v>727</v>
      </c>
      <c r="B227">
        <v>4921</v>
      </c>
      <c r="C227">
        <v>1</v>
      </c>
      <c r="D227">
        <v>47</v>
      </c>
      <c r="E227">
        <v>6704</v>
      </c>
      <c r="F227">
        <v>122</v>
      </c>
      <c r="G227">
        <v>1341</v>
      </c>
    </row>
    <row r="228" spans="1:7">
      <c r="A228">
        <v>2000</v>
      </c>
      <c r="B228">
        <v>4029</v>
      </c>
      <c r="C228">
        <v>10</v>
      </c>
      <c r="D228">
        <v>63</v>
      </c>
      <c r="E228">
        <v>6661</v>
      </c>
      <c r="F228">
        <v>664</v>
      </c>
      <c r="G228">
        <v>12029</v>
      </c>
    </row>
    <row r="229" spans="1:7">
      <c r="A229">
        <v>2700</v>
      </c>
      <c r="B229">
        <v>3705</v>
      </c>
      <c r="C229">
        <v>10</v>
      </c>
      <c r="D229">
        <v>64</v>
      </c>
      <c r="E229">
        <v>6653.9</v>
      </c>
      <c r="F229">
        <v>-16.3</v>
      </c>
      <c r="G229">
        <v>4107.8</v>
      </c>
    </row>
    <row r="230" spans="1:7">
      <c r="A230">
        <v>1921</v>
      </c>
      <c r="B230">
        <v>3973</v>
      </c>
      <c r="C230">
        <v>4</v>
      </c>
      <c r="D230">
        <v>63</v>
      </c>
      <c r="E230">
        <v>6625</v>
      </c>
      <c r="F230">
        <v>349</v>
      </c>
      <c r="G230">
        <v>5665</v>
      </c>
    </row>
    <row r="231" spans="1:7">
      <c r="A231">
        <v>1300</v>
      </c>
      <c r="B231">
        <v>1308</v>
      </c>
      <c r="C231">
        <v>4</v>
      </c>
      <c r="D231">
        <v>45</v>
      </c>
      <c r="E231">
        <v>6617.5</v>
      </c>
      <c r="F231">
        <v>-458.9</v>
      </c>
      <c r="G231">
        <v>7883</v>
      </c>
    </row>
    <row r="232" spans="1:7">
      <c r="A232">
        <v>1379</v>
      </c>
      <c r="B232">
        <v>1381</v>
      </c>
      <c r="C232">
        <v>9</v>
      </c>
      <c r="D232">
        <v>60</v>
      </c>
      <c r="E232">
        <v>6614</v>
      </c>
      <c r="F232">
        <v>355.8</v>
      </c>
      <c r="G232">
        <v>3600.4</v>
      </c>
    </row>
    <row r="233" spans="1:7">
      <c r="A233">
        <v>1803</v>
      </c>
      <c r="B233">
        <v>2184</v>
      </c>
      <c r="C233">
        <v>4</v>
      </c>
      <c r="D233">
        <v>54</v>
      </c>
      <c r="E233">
        <v>6600.8</v>
      </c>
      <c r="F233">
        <v>260.39999999999998</v>
      </c>
      <c r="G233">
        <v>4046.8</v>
      </c>
    </row>
    <row r="234" spans="1:7">
      <c r="A234">
        <v>1304</v>
      </c>
      <c r="B234">
        <v>1639</v>
      </c>
      <c r="C234">
        <v>0</v>
      </c>
      <c r="D234">
        <v>44</v>
      </c>
      <c r="E234">
        <v>6599</v>
      </c>
      <c r="F234">
        <v>315</v>
      </c>
      <c r="G234">
        <v>10085</v>
      </c>
    </row>
    <row r="235" spans="1:7">
      <c r="A235">
        <v>1200</v>
      </c>
      <c r="B235">
        <v>5107</v>
      </c>
      <c r="C235">
        <v>8</v>
      </c>
      <c r="D235">
        <v>64</v>
      </c>
      <c r="E235">
        <v>6596</v>
      </c>
      <c r="F235">
        <v>363</v>
      </c>
      <c r="G235">
        <v>15252</v>
      </c>
    </row>
    <row r="236" spans="1:7">
      <c r="A236">
        <v>2128</v>
      </c>
      <c r="B236">
        <v>2623</v>
      </c>
      <c r="C236">
        <v>13</v>
      </c>
      <c r="D236">
        <v>53</v>
      </c>
      <c r="E236">
        <v>6572.9</v>
      </c>
      <c r="F236">
        <v>231.3</v>
      </c>
      <c r="G236">
        <v>4225.8</v>
      </c>
    </row>
    <row r="237" spans="1:7">
      <c r="A237">
        <v>1083</v>
      </c>
      <c r="B237">
        <v>1570</v>
      </c>
      <c r="C237">
        <v>4</v>
      </c>
      <c r="D237">
        <v>46</v>
      </c>
      <c r="E237">
        <v>6568.2</v>
      </c>
      <c r="F237">
        <v>269.2</v>
      </c>
      <c r="G237">
        <v>6968.7</v>
      </c>
    </row>
    <row r="238" spans="1:7">
      <c r="A238">
        <v>1658</v>
      </c>
      <c r="B238">
        <v>2260</v>
      </c>
      <c r="C238">
        <v>4</v>
      </c>
      <c r="D238">
        <v>47</v>
      </c>
      <c r="E238">
        <v>6505</v>
      </c>
      <c r="F238">
        <v>122</v>
      </c>
      <c r="G238">
        <v>4892</v>
      </c>
    </row>
    <row r="239" spans="1:7">
      <c r="A239">
        <v>2978</v>
      </c>
      <c r="B239">
        <v>3614</v>
      </c>
      <c r="C239">
        <v>17</v>
      </c>
      <c r="D239">
        <v>62</v>
      </c>
      <c r="E239">
        <v>6492.9</v>
      </c>
      <c r="F239">
        <v>540.5</v>
      </c>
      <c r="G239">
        <v>19688</v>
      </c>
    </row>
    <row r="240" spans="1:7">
      <c r="A240">
        <v>882</v>
      </c>
      <c r="B240">
        <v>1571</v>
      </c>
      <c r="C240">
        <v>7</v>
      </c>
      <c r="D240">
        <v>57</v>
      </c>
      <c r="E240">
        <v>6452.1</v>
      </c>
      <c r="F240">
        <v>351.9</v>
      </c>
      <c r="G240">
        <v>30891.7</v>
      </c>
    </row>
    <row r="241" spans="1:7">
      <c r="A241">
        <v>2419</v>
      </c>
      <c r="B241">
        <v>6537</v>
      </c>
      <c r="C241">
        <v>8</v>
      </c>
      <c r="D241">
        <v>56</v>
      </c>
      <c r="E241">
        <v>6428.6</v>
      </c>
      <c r="F241">
        <v>707</v>
      </c>
      <c r="G241">
        <v>58502.6</v>
      </c>
    </row>
    <row r="242" spans="1:7">
      <c r="A242">
        <v>1775</v>
      </c>
      <c r="B242">
        <v>2893</v>
      </c>
      <c r="C242">
        <v>11</v>
      </c>
      <c r="D242">
        <v>56</v>
      </c>
      <c r="E242">
        <v>6349.8</v>
      </c>
      <c r="F242">
        <v>707</v>
      </c>
      <c r="G242">
        <v>20746</v>
      </c>
    </row>
    <row r="243" spans="1:7">
      <c r="A243">
        <v>974</v>
      </c>
      <c r="B243">
        <v>1425</v>
      </c>
      <c r="C243">
        <v>6</v>
      </c>
      <c r="D243">
        <v>57</v>
      </c>
      <c r="E243">
        <v>6345.9</v>
      </c>
      <c r="F243">
        <v>536.20000000000005</v>
      </c>
      <c r="G243">
        <v>19483.2</v>
      </c>
    </row>
    <row r="244" spans="1:7">
      <c r="A244">
        <v>800</v>
      </c>
      <c r="B244">
        <v>3271</v>
      </c>
      <c r="C244">
        <v>3</v>
      </c>
      <c r="D244">
        <v>51</v>
      </c>
      <c r="E244">
        <v>6311.9</v>
      </c>
      <c r="F244">
        <v>-297.39999999999998</v>
      </c>
      <c r="G244">
        <v>7810.8</v>
      </c>
    </row>
    <row r="245" spans="1:7">
      <c r="A245">
        <v>1121</v>
      </c>
      <c r="B245">
        <v>1855</v>
      </c>
      <c r="C245">
        <v>5</v>
      </c>
      <c r="D245">
        <v>64</v>
      </c>
      <c r="E245">
        <v>6266</v>
      </c>
      <c r="F245">
        <v>-21</v>
      </c>
      <c r="G245">
        <v>4542</v>
      </c>
    </row>
    <row r="246" spans="1:7">
      <c r="A246">
        <v>2243</v>
      </c>
      <c r="B246">
        <v>3449</v>
      </c>
      <c r="C246">
        <v>10</v>
      </c>
      <c r="D246">
        <v>47</v>
      </c>
      <c r="E246">
        <v>6219.9</v>
      </c>
      <c r="F246">
        <v>-0.9</v>
      </c>
      <c r="G246">
        <v>5189</v>
      </c>
    </row>
    <row r="247" spans="1:7">
      <c r="A247">
        <v>1543</v>
      </c>
      <c r="B247">
        <v>1643</v>
      </c>
      <c r="C247">
        <v>5</v>
      </c>
      <c r="D247">
        <v>55</v>
      </c>
      <c r="E247">
        <v>6162.1</v>
      </c>
      <c r="F247">
        <v>-37</v>
      </c>
      <c r="G247">
        <v>4966.7</v>
      </c>
    </row>
    <row r="248" spans="1:7">
      <c r="A248">
        <v>2011</v>
      </c>
      <c r="B248">
        <v>6675</v>
      </c>
      <c r="C248">
        <v>5</v>
      </c>
      <c r="D248">
        <v>58</v>
      </c>
      <c r="E248">
        <v>6149</v>
      </c>
      <c r="F248">
        <v>64</v>
      </c>
      <c r="G248">
        <v>8726</v>
      </c>
    </row>
    <row r="249" spans="1:7">
      <c r="A249">
        <v>4280</v>
      </c>
      <c r="B249">
        <v>4349</v>
      </c>
      <c r="C249">
        <v>1</v>
      </c>
      <c r="D249">
        <v>46</v>
      </c>
      <c r="E249">
        <v>6087.1</v>
      </c>
      <c r="F249">
        <v>509.8</v>
      </c>
      <c r="G249">
        <v>93836.3</v>
      </c>
    </row>
    <row r="250" spans="1:7">
      <c r="A250">
        <v>1389</v>
      </c>
      <c r="B250">
        <v>2882</v>
      </c>
      <c r="C250">
        <v>9</v>
      </c>
      <c r="D250">
        <v>63</v>
      </c>
      <c r="E250">
        <v>6086.2</v>
      </c>
      <c r="F250">
        <v>535.6</v>
      </c>
      <c r="G250">
        <v>17517</v>
      </c>
    </row>
    <row r="251" spans="1:7">
      <c r="A251">
        <v>1616</v>
      </c>
      <c r="B251">
        <v>5692</v>
      </c>
      <c r="C251">
        <v>4</v>
      </c>
      <c r="D251">
        <v>53</v>
      </c>
      <c r="E251">
        <v>6033</v>
      </c>
      <c r="F251">
        <v>421.8</v>
      </c>
      <c r="G251">
        <v>3861.4</v>
      </c>
    </row>
    <row r="252" spans="1:7">
      <c r="A252">
        <v>1383</v>
      </c>
      <c r="B252">
        <v>1568</v>
      </c>
      <c r="C252">
        <v>13</v>
      </c>
      <c r="D252">
        <v>57</v>
      </c>
      <c r="E252">
        <v>5931</v>
      </c>
      <c r="F252">
        <v>644</v>
      </c>
      <c r="G252">
        <v>17997</v>
      </c>
    </row>
    <row r="253" spans="1:7">
      <c r="A253">
        <v>1248</v>
      </c>
      <c r="B253">
        <v>1439</v>
      </c>
      <c r="C253">
        <v>1</v>
      </c>
      <c r="D253">
        <v>46</v>
      </c>
      <c r="E253">
        <v>5916.3</v>
      </c>
      <c r="F253">
        <v>151.4</v>
      </c>
      <c r="G253">
        <v>2733.7</v>
      </c>
    </row>
    <row r="254" spans="1:7">
      <c r="A254">
        <v>1731</v>
      </c>
      <c r="B254">
        <v>2719</v>
      </c>
      <c r="C254">
        <v>5</v>
      </c>
      <c r="D254">
        <v>57</v>
      </c>
      <c r="E254">
        <v>5913.8</v>
      </c>
      <c r="F254">
        <v>874.2</v>
      </c>
      <c r="G254">
        <v>64122.8</v>
      </c>
    </row>
    <row r="255" spans="1:7">
      <c r="A255">
        <v>1700</v>
      </c>
      <c r="B255">
        <v>5644</v>
      </c>
      <c r="C255">
        <v>2</v>
      </c>
      <c r="D255">
        <v>55</v>
      </c>
      <c r="E255">
        <v>5899.9</v>
      </c>
      <c r="F255">
        <v>294.60000000000002</v>
      </c>
      <c r="G255">
        <v>3787.8</v>
      </c>
    </row>
    <row r="256" spans="1:7">
      <c r="A256">
        <v>1429</v>
      </c>
      <c r="B256">
        <v>1615</v>
      </c>
      <c r="C256">
        <v>3</v>
      </c>
      <c r="D256">
        <v>51</v>
      </c>
      <c r="E256">
        <v>5876.3</v>
      </c>
      <c r="F256">
        <v>261</v>
      </c>
      <c r="G256">
        <v>10298.799999999999</v>
      </c>
    </row>
    <row r="257" spans="1:7">
      <c r="A257">
        <v>589</v>
      </c>
      <c r="B257">
        <v>914</v>
      </c>
      <c r="C257">
        <v>0</v>
      </c>
      <c r="D257">
        <v>52</v>
      </c>
      <c r="E257">
        <v>5861.3</v>
      </c>
      <c r="F257">
        <v>410.9</v>
      </c>
      <c r="G257">
        <v>18063.5</v>
      </c>
    </row>
    <row r="258" spans="1:7">
      <c r="A258">
        <v>1330</v>
      </c>
      <c r="B258">
        <v>1485</v>
      </c>
      <c r="C258">
        <v>3</v>
      </c>
      <c r="D258">
        <v>60</v>
      </c>
      <c r="E258">
        <v>5859</v>
      </c>
      <c r="F258">
        <v>66</v>
      </c>
      <c r="G258">
        <v>6134</v>
      </c>
    </row>
    <row r="259" spans="1:7">
      <c r="A259">
        <v>2818</v>
      </c>
      <c r="B259">
        <v>63959</v>
      </c>
      <c r="C259">
        <v>9</v>
      </c>
      <c r="D259">
        <v>58</v>
      </c>
      <c r="E259">
        <v>5832</v>
      </c>
      <c r="F259">
        <v>539.6</v>
      </c>
      <c r="G259">
        <v>20216.5</v>
      </c>
    </row>
    <row r="260" spans="1:7">
      <c r="A260">
        <v>1729</v>
      </c>
      <c r="B260">
        <v>7059</v>
      </c>
      <c r="C260">
        <v>0</v>
      </c>
      <c r="D260">
        <v>56</v>
      </c>
      <c r="E260">
        <v>5814</v>
      </c>
      <c r="F260">
        <v>870</v>
      </c>
      <c r="G260">
        <v>50777</v>
      </c>
    </row>
    <row r="261" spans="1:7">
      <c r="A261">
        <v>971</v>
      </c>
      <c r="B261">
        <v>7274</v>
      </c>
      <c r="C261">
        <v>4</v>
      </c>
      <c r="D261">
        <v>40</v>
      </c>
      <c r="E261">
        <v>5805.2</v>
      </c>
      <c r="F261">
        <v>170.8</v>
      </c>
      <c r="G261">
        <v>2438.4</v>
      </c>
    </row>
    <row r="262" spans="1:7">
      <c r="A262">
        <v>2550</v>
      </c>
      <c r="B262">
        <v>10317</v>
      </c>
      <c r="C262">
        <v>2</v>
      </c>
      <c r="D262">
        <v>53</v>
      </c>
      <c r="E262">
        <v>5793</v>
      </c>
      <c r="F262">
        <v>1192</v>
      </c>
      <c r="G262">
        <v>63579</v>
      </c>
    </row>
    <row r="263" spans="1:7">
      <c r="A263">
        <v>1600</v>
      </c>
      <c r="B263">
        <v>3148</v>
      </c>
      <c r="C263">
        <v>9</v>
      </c>
      <c r="D263">
        <v>53</v>
      </c>
      <c r="E263">
        <v>5782</v>
      </c>
      <c r="F263">
        <v>225</v>
      </c>
      <c r="G263">
        <v>10069</v>
      </c>
    </row>
    <row r="264" spans="1:7">
      <c r="A264">
        <v>2202</v>
      </c>
      <c r="B264">
        <v>3082</v>
      </c>
      <c r="C264">
        <v>4</v>
      </c>
      <c r="D264">
        <v>46</v>
      </c>
      <c r="E264">
        <v>5698</v>
      </c>
      <c r="F264">
        <v>-136</v>
      </c>
      <c r="G264">
        <v>2876</v>
      </c>
    </row>
    <row r="265" spans="1:7">
      <c r="A265">
        <v>1569</v>
      </c>
      <c r="B265">
        <v>2375</v>
      </c>
      <c r="C265">
        <v>4</v>
      </c>
      <c r="D265">
        <v>63</v>
      </c>
      <c r="E265">
        <v>5659</v>
      </c>
      <c r="F265">
        <v>403</v>
      </c>
      <c r="G265">
        <v>7291</v>
      </c>
    </row>
    <row r="266" spans="1:7">
      <c r="A266">
        <v>1323</v>
      </c>
      <c r="B266">
        <v>2081</v>
      </c>
      <c r="C266">
        <v>3</v>
      </c>
      <c r="D266">
        <v>61</v>
      </c>
      <c r="E266">
        <v>5653</v>
      </c>
      <c r="F266">
        <v>75.3</v>
      </c>
      <c r="G266">
        <v>8839.9</v>
      </c>
    </row>
    <row r="267" spans="1:7">
      <c r="A267">
        <v>1478</v>
      </c>
      <c r="B267">
        <v>3057</v>
      </c>
      <c r="C267">
        <v>4</v>
      </c>
      <c r="D267">
        <v>57</v>
      </c>
      <c r="E267">
        <v>5647.9</v>
      </c>
      <c r="F267">
        <v>672.8</v>
      </c>
      <c r="G267">
        <v>6118.2</v>
      </c>
    </row>
    <row r="268" spans="1:7">
      <c r="A268">
        <v>450</v>
      </c>
      <c r="B268">
        <v>682</v>
      </c>
      <c r="C268">
        <v>1</v>
      </c>
      <c r="D268">
        <v>64</v>
      </c>
      <c r="E268">
        <v>5628.7</v>
      </c>
      <c r="F268">
        <v>-83</v>
      </c>
      <c r="G268">
        <v>5748.8</v>
      </c>
    </row>
    <row r="269" spans="1:7">
      <c r="A269">
        <v>870</v>
      </c>
      <c r="B269">
        <v>10109</v>
      </c>
      <c r="C269">
        <v>36</v>
      </c>
      <c r="D269">
        <v>79</v>
      </c>
      <c r="E269">
        <v>5590.5</v>
      </c>
      <c r="F269">
        <v>972.1</v>
      </c>
      <c r="G269">
        <v>14817.4</v>
      </c>
    </row>
    <row r="270" spans="1:7">
      <c r="A270">
        <v>1238</v>
      </c>
      <c r="B270">
        <v>1540</v>
      </c>
      <c r="C270">
        <v>2</v>
      </c>
      <c r="D270">
        <v>51</v>
      </c>
      <c r="E270">
        <v>5577</v>
      </c>
      <c r="F270">
        <v>1105.7</v>
      </c>
      <c r="G270">
        <v>5551.7</v>
      </c>
    </row>
    <row r="271" spans="1:7">
      <c r="A271">
        <v>1134</v>
      </c>
      <c r="B271">
        <v>1896</v>
      </c>
      <c r="C271">
        <v>25</v>
      </c>
      <c r="D271">
        <v>62</v>
      </c>
      <c r="E271">
        <v>5539.3</v>
      </c>
      <c r="F271">
        <v>-47.3</v>
      </c>
      <c r="G271">
        <v>2725.7</v>
      </c>
    </row>
    <row r="272" spans="1:7">
      <c r="A272">
        <v>1350</v>
      </c>
      <c r="B272">
        <v>2423</v>
      </c>
      <c r="C272">
        <v>10</v>
      </c>
      <c r="D272">
        <v>55</v>
      </c>
      <c r="E272">
        <v>5528.7</v>
      </c>
      <c r="F272">
        <v>-95.5</v>
      </c>
      <c r="G272">
        <v>4800</v>
      </c>
    </row>
    <row r="273" spans="1:7">
      <c r="A273">
        <v>1749</v>
      </c>
      <c r="B273">
        <v>3438</v>
      </c>
      <c r="C273">
        <v>1</v>
      </c>
      <c r="D273">
        <v>63</v>
      </c>
      <c r="E273">
        <v>5525</v>
      </c>
      <c r="F273">
        <v>294</v>
      </c>
      <c r="G273">
        <v>10456</v>
      </c>
    </row>
    <row r="274" spans="1:7">
      <c r="A274">
        <v>686</v>
      </c>
      <c r="B274">
        <v>991</v>
      </c>
      <c r="C274">
        <v>12</v>
      </c>
      <c r="D274">
        <v>56</v>
      </c>
      <c r="E274">
        <v>5520</v>
      </c>
      <c r="F274">
        <v>-8.3000000000000007</v>
      </c>
      <c r="G274">
        <v>1315.1</v>
      </c>
    </row>
    <row r="275" spans="1:7">
      <c r="A275">
        <v>1155</v>
      </c>
      <c r="B275">
        <v>2783</v>
      </c>
      <c r="C275">
        <v>10</v>
      </c>
      <c r="D275">
        <v>50</v>
      </c>
      <c r="E275">
        <v>5506.9</v>
      </c>
      <c r="F275">
        <v>-47</v>
      </c>
      <c r="G275">
        <v>1817.8</v>
      </c>
    </row>
    <row r="276" spans="1:7">
      <c r="A276">
        <v>1191</v>
      </c>
      <c r="B276">
        <v>1869</v>
      </c>
      <c r="C276">
        <v>8</v>
      </c>
      <c r="D276">
        <v>61</v>
      </c>
      <c r="E276">
        <v>5482</v>
      </c>
      <c r="F276">
        <v>440</v>
      </c>
      <c r="G276">
        <v>13744</v>
      </c>
    </row>
    <row r="277" spans="1:7">
      <c r="A277">
        <v>2297</v>
      </c>
      <c r="B277">
        <v>6154</v>
      </c>
      <c r="C277">
        <v>3</v>
      </c>
      <c r="D277">
        <v>52</v>
      </c>
      <c r="E277">
        <v>5478.8</v>
      </c>
      <c r="F277">
        <v>388.3</v>
      </c>
      <c r="G277">
        <v>3836.7</v>
      </c>
    </row>
    <row r="278" spans="1:7">
      <c r="A278">
        <v>989</v>
      </c>
      <c r="B278">
        <v>1242</v>
      </c>
      <c r="C278">
        <v>9</v>
      </c>
      <c r="D278">
        <v>68</v>
      </c>
      <c r="E278">
        <v>5449.9</v>
      </c>
      <c r="F278">
        <v>108</v>
      </c>
      <c r="G278">
        <v>11060.7</v>
      </c>
    </row>
    <row r="279" spans="1:7">
      <c r="A279">
        <v>818</v>
      </c>
      <c r="B279">
        <v>7313</v>
      </c>
      <c r="C279">
        <v>9</v>
      </c>
      <c r="D279">
        <v>43</v>
      </c>
      <c r="E279">
        <v>5420.4</v>
      </c>
      <c r="F279">
        <v>30.2</v>
      </c>
      <c r="G279">
        <v>4080.5</v>
      </c>
    </row>
    <row r="280" spans="1:7">
      <c r="A280">
        <v>1085</v>
      </c>
      <c r="B280">
        <v>1872</v>
      </c>
      <c r="C280">
        <v>5</v>
      </c>
      <c r="D280">
        <v>62</v>
      </c>
      <c r="E280">
        <v>5379</v>
      </c>
      <c r="F280">
        <v>130</v>
      </c>
      <c r="G280">
        <v>7952</v>
      </c>
    </row>
    <row r="281" spans="1:7">
      <c r="A281">
        <v>2458</v>
      </c>
      <c r="B281">
        <v>2709</v>
      </c>
      <c r="C281">
        <v>34</v>
      </c>
      <c r="D281">
        <v>65</v>
      </c>
      <c r="E281">
        <v>5292.4</v>
      </c>
      <c r="F281">
        <v>456.7</v>
      </c>
      <c r="G281">
        <v>8463.1</v>
      </c>
    </row>
    <row r="282" spans="1:7">
      <c r="A282">
        <v>1033</v>
      </c>
      <c r="B282">
        <v>3878</v>
      </c>
      <c r="C282">
        <v>7</v>
      </c>
      <c r="D282">
        <v>59</v>
      </c>
      <c r="E282">
        <v>5288.3</v>
      </c>
      <c r="F282">
        <v>198.8</v>
      </c>
      <c r="G282">
        <v>2410.6</v>
      </c>
    </row>
    <row r="283" spans="1:7">
      <c r="A283">
        <v>960</v>
      </c>
      <c r="B283">
        <v>9518</v>
      </c>
      <c r="C283">
        <v>5</v>
      </c>
      <c r="D283">
        <v>48</v>
      </c>
      <c r="E283">
        <v>5286</v>
      </c>
      <c r="F283">
        <v>31.5</v>
      </c>
      <c r="G283">
        <v>1160.5</v>
      </c>
    </row>
    <row r="284" spans="1:7">
      <c r="A284">
        <v>1798</v>
      </c>
      <c r="B284">
        <v>1812</v>
      </c>
      <c r="C284">
        <v>1</v>
      </c>
      <c r="D284">
        <v>53</v>
      </c>
      <c r="E284">
        <v>5212.7</v>
      </c>
      <c r="F284">
        <v>270</v>
      </c>
      <c r="G284">
        <v>2433.5</v>
      </c>
    </row>
    <row r="285" spans="1:7">
      <c r="A285">
        <v>1293</v>
      </c>
      <c r="B285">
        <v>1297</v>
      </c>
      <c r="C285">
        <v>4</v>
      </c>
      <c r="D285">
        <v>59</v>
      </c>
      <c r="E285">
        <v>5210.5</v>
      </c>
      <c r="F285">
        <v>512.70000000000005</v>
      </c>
      <c r="G285">
        <v>12048.4</v>
      </c>
    </row>
    <row r="286" spans="1:7">
      <c r="A286">
        <v>1500</v>
      </c>
      <c r="B286">
        <v>1500</v>
      </c>
      <c r="C286">
        <v>8</v>
      </c>
      <c r="D286">
        <v>66</v>
      </c>
      <c r="E286">
        <v>5195.1000000000004</v>
      </c>
      <c r="F286">
        <v>776.3</v>
      </c>
      <c r="G286">
        <v>25806.3</v>
      </c>
    </row>
    <row r="287" spans="1:7">
      <c r="A287">
        <v>1430</v>
      </c>
      <c r="B287">
        <v>5270</v>
      </c>
      <c r="C287">
        <v>12</v>
      </c>
      <c r="D287">
        <v>61</v>
      </c>
      <c r="E287">
        <v>5194</v>
      </c>
      <c r="F287">
        <v>580.29999999999995</v>
      </c>
      <c r="G287">
        <v>9374.2000000000007</v>
      </c>
    </row>
    <row r="288" spans="1:7">
      <c r="A288">
        <v>1175</v>
      </c>
      <c r="B288">
        <v>1795</v>
      </c>
      <c r="C288">
        <v>16</v>
      </c>
      <c r="D288">
        <v>56</v>
      </c>
      <c r="E288">
        <v>5188.7</v>
      </c>
      <c r="F288">
        <v>159.1</v>
      </c>
      <c r="G288">
        <v>5708.6</v>
      </c>
    </row>
    <row r="289" spans="1:7">
      <c r="A289">
        <v>1952</v>
      </c>
      <c r="B289">
        <v>5750</v>
      </c>
      <c r="C289">
        <v>11</v>
      </c>
      <c r="D289">
        <v>62</v>
      </c>
      <c r="E289">
        <v>5181</v>
      </c>
      <c r="F289">
        <v>725</v>
      </c>
      <c r="G289">
        <v>17553</v>
      </c>
    </row>
    <row r="290" spans="1:7">
      <c r="A290">
        <v>1565</v>
      </c>
      <c r="B290">
        <v>3873</v>
      </c>
      <c r="C290">
        <v>14</v>
      </c>
      <c r="D290">
        <v>54</v>
      </c>
      <c r="E290">
        <v>5141</v>
      </c>
      <c r="F290">
        <v>285</v>
      </c>
      <c r="G290">
        <v>11310</v>
      </c>
    </row>
    <row r="291" spans="1:7">
      <c r="A291">
        <v>2400</v>
      </c>
      <c r="B291">
        <v>6033</v>
      </c>
      <c r="C291">
        <v>13</v>
      </c>
      <c r="D291">
        <v>60</v>
      </c>
      <c r="E291">
        <v>5121.3</v>
      </c>
      <c r="F291">
        <v>999.9</v>
      </c>
      <c r="G291">
        <v>6979.5</v>
      </c>
    </row>
    <row r="292" spans="1:7">
      <c r="A292">
        <v>800</v>
      </c>
      <c r="B292">
        <v>3434</v>
      </c>
      <c r="C292">
        <v>10</v>
      </c>
      <c r="D292">
        <v>55</v>
      </c>
      <c r="E292">
        <v>5117.6000000000004</v>
      </c>
      <c r="F292">
        <v>465.7</v>
      </c>
      <c r="G292">
        <v>16587</v>
      </c>
    </row>
    <row r="293" spans="1:7">
      <c r="A293">
        <v>1173</v>
      </c>
      <c r="B293">
        <v>6476</v>
      </c>
      <c r="C293">
        <v>4</v>
      </c>
      <c r="D293">
        <v>58</v>
      </c>
      <c r="E293">
        <v>5100.6000000000004</v>
      </c>
      <c r="F293">
        <v>423</v>
      </c>
      <c r="G293">
        <v>3779.1</v>
      </c>
    </row>
    <row r="294" spans="1:7">
      <c r="A294">
        <v>1295</v>
      </c>
      <c r="B294">
        <v>2040</v>
      </c>
      <c r="C294">
        <v>4</v>
      </c>
      <c r="D294">
        <v>46</v>
      </c>
      <c r="E294">
        <v>5027.8999999999996</v>
      </c>
      <c r="F294">
        <v>206.7</v>
      </c>
      <c r="G294">
        <v>3115.4</v>
      </c>
    </row>
    <row r="295" spans="1:7">
      <c r="A295">
        <v>2850</v>
      </c>
      <c r="B295">
        <v>3605</v>
      </c>
      <c r="C295">
        <v>7</v>
      </c>
      <c r="D295">
        <v>64</v>
      </c>
      <c r="E295">
        <v>5009</v>
      </c>
      <c r="F295">
        <v>-705</v>
      </c>
      <c r="G295">
        <v>5101</v>
      </c>
    </row>
    <row r="296" spans="1:7">
      <c r="A296">
        <v>2100</v>
      </c>
      <c r="B296">
        <v>8611</v>
      </c>
      <c r="C296">
        <v>2</v>
      </c>
      <c r="D296">
        <v>56</v>
      </c>
      <c r="E296">
        <v>4970</v>
      </c>
      <c r="F296">
        <v>364</v>
      </c>
      <c r="G296">
        <v>4572</v>
      </c>
    </row>
    <row r="297" spans="1:7">
      <c r="A297">
        <v>942</v>
      </c>
      <c r="B297">
        <v>1539</v>
      </c>
      <c r="C297">
        <v>1</v>
      </c>
      <c r="D297">
        <v>50</v>
      </c>
      <c r="E297">
        <v>4941.5</v>
      </c>
      <c r="F297">
        <v>139</v>
      </c>
      <c r="G297">
        <v>2689.4</v>
      </c>
    </row>
    <row r="298" spans="1:7">
      <c r="A298">
        <v>1702</v>
      </c>
      <c r="B298">
        <v>2479</v>
      </c>
      <c r="C298">
        <v>20</v>
      </c>
      <c r="D298">
        <v>64</v>
      </c>
      <c r="E298">
        <v>4934.3999999999996</v>
      </c>
      <c r="F298">
        <v>272.89999999999998</v>
      </c>
      <c r="G298">
        <v>4065.5</v>
      </c>
    </row>
    <row r="299" spans="1:7">
      <c r="A299">
        <v>1815</v>
      </c>
      <c r="B299">
        <v>4325</v>
      </c>
      <c r="C299">
        <v>7</v>
      </c>
      <c r="D299">
        <v>63</v>
      </c>
      <c r="E299">
        <v>4933.8</v>
      </c>
      <c r="F299">
        <v>546.79999999999995</v>
      </c>
      <c r="G299">
        <v>7489.6</v>
      </c>
    </row>
    <row r="300" spans="1:7">
      <c r="A300">
        <v>1675</v>
      </c>
      <c r="B300">
        <v>5258</v>
      </c>
      <c r="C300">
        <v>5</v>
      </c>
      <c r="D300">
        <v>56</v>
      </c>
      <c r="E300">
        <v>4876.7</v>
      </c>
      <c r="F300">
        <v>378.8</v>
      </c>
      <c r="G300">
        <v>3627.3</v>
      </c>
    </row>
    <row r="301" spans="1:7">
      <c r="A301">
        <v>2352</v>
      </c>
      <c r="B301">
        <v>5143</v>
      </c>
      <c r="C301">
        <v>2</v>
      </c>
      <c r="D301">
        <v>57</v>
      </c>
      <c r="E301">
        <v>4842.5</v>
      </c>
      <c r="F301">
        <v>284.5</v>
      </c>
      <c r="G301">
        <v>2510.3000000000002</v>
      </c>
    </row>
    <row r="302" spans="1:7">
      <c r="A302">
        <v>950</v>
      </c>
      <c r="B302">
        <v>1861</v>
      </c>
      <c r="C302">
        <v>7</v>
      </c>
      <c r="D302">
        <v>63</v>
      </c>
      <c r="E302">
        <v>4833</v>
      </c>
      <c r="F302">
        <v>425</v>
      </c>
      <c r="G302">
        <v>8096</v>
      </c>
    </row>
    <row r="303" spans="1:7">
      <c r="A303">
        <v>1038</v>
      </c>
      <c r="B303">
        <v>4771</v>
      </c>
      <c r="C303">
        <v>3</v>
      </c>
      <c r="D303">
        <v>56</v>
      </c>
      <c r="E303">
        <v>4798.1000000000004</v>
      </c>
      <c r="F303">
        <v>605.29999999999995</v>
      </c>
      <c r="G303">
        <v>5175.3999999999996</v>
      </c>
    </row>
    <row r="304" spans="1:7">
      <c r="A304">
        <v>2003</v>
      </c>
      <c r="B304">
        <v>6435</v>
      </c>
      <c r="C304">
        <v>4</v>
      </c>
      <c r="D304">
        <v>64</v>
      </c>
      <c r="E304">
        <v>4797.2</v>
      </c>
      <c r="F304">
        <v>263.10000000000002</v>
      </c>
      <c r="G304">
        <v>7359.7</v>
      </c>
    </row>
    <row r="305" spans="1:7">
      <c r="A305">
        <v>1220</v>
      </c>
      <c r="B305">
        <v>1613</v>
      </c>
      <c r="C305">
        <v>0</v>
      </c>
      <c r="D305">
        <v>50</v>
      </c>
      <c r="E305">
        <v>4787.8999999999996</v>
      </c>
      <c r="F305">
        <v>61.3</v>
      </c>
      <c r="G305">
        <v>1993.6</v>
      </c>
    </row>
    <row r="306" spans="1:7">
      <c r="A306">
        <v>1546</v>
      </c>
      <c r="B306">
        <v>10799</v>
      </c>
      <c r="C306">
        <v>2</v>
      </c>
      <c r="D306">
        <v>47</v>
      </c>
      <c r="E306">
        <v>4781.8999999999996</v>
      </c>
      <c r="F306">
        <v>332.3</v>
      </c>
      <c r="G306">
        <v>4262.2</v>
      </c>
    </row>
    <row r="307" spans="1:7">
      <c r="A307">
        <v>800</v>
      </c>
      <c r="B307">
        <v>880</v>
      </c>
      <c r="C307">
        <v>4</v>
      </c>
      <c r="D307">
        <v>50</v>
      </c>
      <c r="E307">
        <v>4745.7</v>
      </c>
      <c r="F307">
        <v>338.8</v>
      </c>
      <c r="G307">
        <v>4999.5</v>
      </c>
    </row>
    <row r="308" spans="1:7">
      <c r="A308">
        <v>1045</v>
      </c>
      <c r="B308">
        <v>1515</v>
      </c>
      <c r="C308">
        <v>5</v>
      </c>
      <c r="D308">
        <v>65</v>
      </c>
      <c r="E308">
        <v>4724.1000000000004</v>
      </c>
      <c r="F308">
        <v>190</v>
      </c>
      <c r="G308">
        <v>2914.9</v>
      </c>
    </row>
    <row r="309" spans="1:7">
      <c r="A309">
        <v>700</v>
      </c>
      <c r="B309">
        <v>3272</v>
      </c>
      <c r="C309">
        <v>1</v>
      </c>
      <c r="D309">
        <v>51</v>
      </c>
      <c r="E309">
        <v>4719.3999999999996</v>
      </c>
      <c r="F309">
        <v>-624.5</v>
      </c>
      <c r="G309">
        <v>1637.8</v>
      </c>
    </row>
    <row r="310" spans="1:7">
      <c r="A310">
        <v>7000</v>
      </c>
      <c r="B310">
        <v>20833</v>
      </c>
      <c r="C310">
        <v>23</v>
      </c>
      <c r="D310">
        <v>54</v>
      </c>
      <c r="E310">
        <v>4719</v>
      </c>
      <c r="F310">
        <v>1169</v>
      </c>
      <c r="G310">
        <v>6706</v>
      </c>
    </row>
    <row r="311" spans="1:7">
      <c r="A311">
        <v>1714</v>
      </c>
      <c r="B311">
        <v>2683</v>
      </c>
      <c r="C311">
        <v>6</v>
      </c>
      <c r="D311">
        <v>63</v>
      </c>
      <c r="E311">
        <v>4633</v>
      </c>
      <c r="F311">
        <v>319.60000000000002</v>
      </c>
      <c r="G311">
        <v>3524.8</v>
      </c>
    </row>
    <row r="312" spans="1:7">
      <c r="A312">
        <v>1866</v>
      </c>
      <c r="B312">
        <v>2166</v>
      </c>
      <c r="C312">
        <v>12</v>
      </c>
      <c r="D312">
        <v>56</v>
      </c>
      <c r="E312">
        <v>4630.8</v>
      </c>
      <c r="F312">
        <v>363.4</v>
      </c>
      <c r="G312">
        <v>15182.9</v>
      </c>
    </row>
    <row r="313" spans="1:7">
      <c r="A313">
        <v>725</v>
      </c>
      <c r="B313">
        <v>730</v>
      </c>
      <c r="C313">
        <v>5</v>
      </c>
      <c r="D313">
        <v>54</v>
      </c>
      <c r="E313">
        <v>4597</v>
      </c>
      <c r="F313">
        <v>-31.5</v>
      </c>
      <c r="G313">
        <v>3495</v>
      </c>
    </row>
    <row r="314" spans="1:7">
      <c r="A314">
        <v>1325</v>
      </c>
      <c r="B314">
        <v>1653</v>
      </c>
      <c r="C314">
        <v>2</v>
      </c>
      <c r="D314">
        <v>52</v>
      </c>
      <c r="E314">
        <v>4579.2</v>
      </c>
      <c r="F314">
        <v>119.7</v>
      </c>
      <c r="G314">
        <v>5142.2</v>
      </c>
    </row>
    <row r="315" spans="1:7">
      <c r="A315">
        <v>2967</v>
      </c>
      <c r="B315">
        <v>36549</v>
      </c>
      <c r="C315">
        <v>13</v>
      </c>
      <c r="D315">
        <v>55</v>
      </c>
      <c r="E315">
        <v>4559.8999999999996</v>
      </c>
      <c r="F315">
        <v>-754.8</v>
      </c>
      <c r="G315">
        <v>3852.5</v>
      </c>
    </row>
    <row r="316" spans="1:7">
      <c r="A316">
        <v>884</v>
      </c>
      <c r="B316">
        <v>886</v>
      </c>
      <c r="C316">
        <v>3</v>
      </c>
      <c r="D316">
        <v>56</v>
      </c>
      <c r="E316">
        <v>4553</v>
      </c>
      <c r="F316">
        <v>18.5</v>
      </c>
      <c r="G316">
        <v>945.3</v>
      </c>
    </row>
    <row r="317" spans="1:7">
      <c r="A317">
        <v>863</v>
      </c>
      <c r="B317">
        <v>1049</v>
      </c>
      <c r="C317">
        <v>5</v>
      </c>
      <c r="D317">
        <v>65</v>
      </c>
      <c r="E317">
        <v>4502.8999999999996</v>
      </c>
      <c r="F317">
        <v>19.3</v>
      </c>
      <c r="G317">
        <v>5176.3999999999996</v>
      </c>
    </row>
    <row r="318" spans="1:7">
      <c r="A318">
        <v>1266</v>
      </c>
      <c r="B318">
        <v>1948</v>
      </c>
      <c r="C318">
        <v>10</v>
      </c>
      <c r="D318">
        <v>61</v>
      </c>
      <c r="E318">
        <v>4481</v>
      </c>
      <c r="F318">
        <v>249</v>
      </c>
      <c r="G318">
        <v>5876</v>
      </c>
    </row>
    <row r="319" spans="1:7">
      <c r="A319">
        <v>1179</v>
      </c>
      <c r="B319">
        <v>1248</v>
      </c>
      <c r="C319">
        <v>7</v>
      </c>
      <c r="D319">
        <v>64</v>
      </c>
      <c r="E319">
        <v>4477.8</v>
      </c>
      <c r="F319">
        <v>120.1</v>
      </c>
      <c r="G319">
        <v>5621.5</v>
      </c>
    </row>
    <row r="320" spans="1:7">
      <c r="A320">
        <v>322</v>
      </c>
      <c r="B320">
        <v>341</v>
      </c>
      <c r="C320">
        <v>1</v>
      </c>
      <c r="D320">
        <v>48</v>
      </c>
      <c r="E320">
        <v>4474.6000000000004</v>
      </c>
      <c r="F320">
        <v>-73.3</v>
      </c>
      <c r="G320">
        <v>2467.6</v>
      </c>
    </row>
    <row r="321" spans="1:7">
      <c r="A321">
        <v>3414</v>
      </c>
      <c r="B321">
        <v>3525</v>
      </c>
      <c r="C321">
        <v>3</v>
      </c>
      <c r="D321">
        <v>57</v>
      </c>
      <c r="E321">
        <v>4468.7</v>
      </c>
      <c r="F321">
        <v>53.7</v>
      </c>
      <c r="G321">
        <v>9940.1</v>
      </c>
    </row>
    <row r="322" spans="1:7">
      <c r="A322">
        <v>1095</v>
      </c>
      <c r="B322">
        <v>2556</v>
      </c>
      <c r="C322">
        <v>5</v>
      </c>
      <c r="D322">
        <v>60</v>
      </c>
      <c r="E322">
        <v>4435.6000000000004</v>
      </c>
      <c r="F322">
        <v>340.9</v>
      </c>
      <c r="G322">
        <v>3404.1</v>
      </c>
    </row>
    <row r="323" spans="1:7">
      <c r="A323">
        <v>1787</v>
      </c>
      <c r="B323">
        <v>4878</v>
      </c>
      <c r="C323">
        <v>7</v>
      </c>
      <c r="D323">
        <v>58</v>
      </c>
      <c r="E323">
        <v>4428</v>
      </c>
      <c r="F323">
        <v>734</v>
      </c>
      <c r="G323">
        <v>18180</v>
      </c>
    </row>
    <row r="324" spans="1:7">
      <c r="A324">
        <v>800</v>
      </c>
      <c r="B324">
        <v>1085</v>
      </c>
      <c r="C324">
        <v>14</v>
      </c>
      <c r="D324">
        <v>76</v>
      </c>
      <c r="E324">
        <v>4424.2</v>
      </c>
      <c r="F324">
        <v>12.1</v>
      </c>
      <c r="G324">
        <v>2915.1</v>
      </c>
    </row>
    <row r="325" spans="1:7">
      <c r="A325">
        <v>1057</v>
      </c>
      <c r="B325">
        <v>3639</v>
      </c>
      <c r="C325">
        <v>1</v>
      </c>
      <c r="D325">
        <v>58</v>
      </c>
      <c r="E325">
        <v>4399.8999999999996</v>
      </c>
      <c r="F325">
        <v>181.4</v>
      </c>
      <c r="G325">
        <v>4049.8</v>
      </c>
    </row>
    <row r="326" spans="1:7">
      <c r="A326">
        <v>623</v>
      </c>
      <c r="B326">
        <v>2749</v>
      </c>
      <c r="C326">
        <v>5</v>
      </c>
      <c r="D326">
        <v>56</v>
      </c>
      <c r="E326">
        <v>4387.8</v>
      </c>
      <c r="F326">
        <v>60</v>
      </c>
      <c r="G326">
        <v>9612.2000000000007</v>
      </c>
    </row>
    <row r="327" spans="1:7">
      <c r="A327">
        <v>1242</v>
      </c>
      <c r="B327">
        <v>1772</v>
      </c>
      <c r="C327">
        <v>8</v>
      </c>
      <c r="D327">
        <v>61</v>
      </c>
      <c r="E327">
        <v>4378.3999999999996</v>
      </c>
      <c r="F327">
        <v>106.5</v>
      </c>
      <c r="G327">
        <v>4166.3999999999996</v>
      </c>
    </row>
    <row r="328" spans="1:7">
      <c r="A328">
        <v>1358</v>
      </c>
      <c r="B328">
        <v>2414</v>
      </c>
      <c r="C328">
        <v>4</v>
      </c>
      <c r="D328">
        <v>56</v>
      </c>
      <c r="E328">
        <v>4341.3</v>
      </c>
      <c r="F328">
        <v>238.5</v>
      </c>
      <c r="G328">
        <v>2103.9</v>
      </c>
    </row>
    <row r="329" spans="1:7">
      <c r="A329">
        <v>1663</v>
      </c>
      <c r="B329">
        <v>1663</v>
      </c>
      <c r="C329">
        <v>11</v>
      </c>
      <c r="D329">
        <v>54</v>
      </c>
      <c r="E329">
        <v>4337.8</v>
      </c>
      <c r="F329">
        <v>48.6</v>
      </c>
      <c r="G329">
        <v>2231.9</v>
      </c>
    </row>
    <row r="330" spans="1:7">
      <c r="A330">
        <v>1992</v>
      </c>
      <c r="B330">
        <v>5234</v>
      </c>
      <c r="C330">
        <v>3</v>
      </c>
      <c r="D330">
        <v>50</v>
      </c>
      <c r="E330">
        <v>4334.3999999999996</v>
      </c>
      <c r="F330">
        <v>576.4</v>
      </c>
      <c r="G330">
        <v>7661</v>
      </c>
    </row>
    <row r="331" spans="1:7">
      <c r="A331">
        <v>1308</v>
      </c>
      <c r="B331">
        <v>2266</v>
      </c>
      <c r="C331">
        <v>11</v>
      </c>
      <c r="D331">
        <v>59</v>
      </c>
      <c r="E331">
        <v>4287.2</v>
      </c>
      <c r="F331">
        <v>141.30000000000001</v>
      </c>
      <c r="G331">
        <v>2056.6999999999998</v>
      </c>
    </row>
    <row r="332" spans="1:7">
      <c r="A332">
        <v>643</v>
      </c>
      <c r="B332">
        <v>859</v>
      </c>
      <c r="C332">
        <v>1</v>
      </c>
      <c r="D332">
        <v>57</v>
      </c>
      <c r="E332">
        <v>4273</v>
      </c>
      <c r="F332">
        <v>-27</v>
      </c>
      <c r="G332">
        <v>5324</v>
      </c>
    </row>
    <row r="333" spans="1:7">
      <c r="A333">
        <v>724</v>
      </c>
      <c r="B333">
        <v>1089</v>
      </c>
      <c r="C333">
        <v>17</v>
      </c>
      <c r="D333">
        <v>52</v>
      </c>
      <c r="E333">
        <v>4258.3999999999996</v>
      </c>
      <c r="F333">
        <v>42.6</v>
      </c>
      <c r="G333">
        <v>1103.5</v>
      </c>
    </row>
    <row r="334" spans="1:7">
      <c r="A334">
        <v>988</v>
      </c>
      <c r="B334">
        <v>1240</v>
      </c>
      <c r="C334">
        <v>2</v>
      </c>
      <c r="D334">
        <v>58</v>
      </c>
      <c r="E334">
        <v>4248.8</v>
      </c>
      <c r="F334">
        <v>360.1</v>
      </c>
      <c r="G334">
        <v>16288.1</v>
      </c>
    </row>
    <row r="335" spans="1:7">
      <c r="A335">
        <v>1628</v>
      </c>
      <c r="B335">
        <v>1991</v>
      </c>
      <c r="C335">
        <v>2</v>
      </c>
      <c r="D335">
        <v>75</v>
      </c>
      <c r="E335">
        <v>4235.3</v>
      </c>
      <c r="F335">
        <v>141.6</v>
      </c>
      <c r="G335">
        <v>4449.1000000000004</v>
      </c>
    </row>
    <row r="336" spans="1:7">
      <c r="A336">
        <v>1871</v>
      </c>
      <c r="B336">
        <v>14988</v>
      </c>
      <c r="C336">
        <v>7</v>
      </c>
      <c r="D336">
        <v>59</v>
      </c>
      <c r="E336">
        <v>4234</v>
      </c>
      <c r="F336">
        <v>436</v>
      </c>
      <c r="G336">
        <v>47082</v>
      </c>
    </row>
    <row r="337" spans="1:7">
      <c r="A337">
        <v>869</v>
      </c>
      <c r="B337">
        <v>962</v>
      </c>
      <c r="C337">
        <v>1</v>
      </c>
      <c r="D337">
        <v>49</v>
      </c>
      <c r="E337">
        <v>4221</v>
      </c>
      <c r="F337">
        <v>443</v>
      </c>
      <c r="G337">
        <v>12088</v>
      </c>
    </row>
    <row r="338" spans="1:7">
      <c r="A338">
        <v>935</v>
      </c>
      <c r="B338">
        <v>1006</v>
      </c>
      <c r="C338">
        <v>9</v>
      </c>
      <c r="D338">
        <v>53</v>
      </c>
      <c r="E338">
        <v>4193.7</v>
      </c>
      <c r="F338">
        <v>96.8</v>
      </c>
      <c r="G338">
        <v>2042.5</v>
      </c>
    </row>
    <row r="339" spans="1:7">
      <c r="A339">
        <v>2615</v>
      </c>
      <c r="B339">
        <v>3339</v>
      </c>
      <c r="C339">
        <v>15</v>
      </c>
      <c r="D339">
        <v>63</v>
      </c>
      <c r="E339">
        <v>4174.6000000000004</v>
      </c>
      <c r="F339">
        <v>187.1</v>
      </c>
      <c r="G339">
        <v>2866.3</v>
      </c>
    </row>
    <row r="340" spans="1:7">
      <c r="A340">
        <v>567</v>
      </c>
      <c r="B340">
        <v>4704</v>
      </c>
      <c r="C340">
        <v>18</v>
      </c>
      <c r="D340">
        <v>68</v>
      </c>
      <c r="E340">
        <v>4164</v>
      </c>
      <c r="F340">
        <v>433.4</v>
      </c>
      <c r="G340">
        <v>4716</v>
      </c>
    </row>
    <row r="341" spans="1:7">
      <c r="A341">
        <v>297</v>
      </c>
      <c r="B341">
        <v>497</v>
      </c>
      <c r="C341">
        <v>1</v>
      </c>
      <c r="D341">
        <v>45</v>
      </c>
      <c r="E341">
        <v>4160</v>
      </c>
      <c r="F341">
        <v>-61.6</v>
      </c>
      <c r="G341">
        <v>825.1</v>
      </c>
    </row>
    <row r="342" spans="1:7">
      <c r="A342">
        <v>721</v>
      </c>
      <c r="B342">
        <v>1004</v>
      </c>
      <c r="C342">
        <v>3</v>
      </c>
      <c r="D342">
        <v>52</v>
      </c>
      <c r="E342">
        <v>4151.2</v>
      </c>
      <c r="F342">
        <v>263.7</v>
      </c>
      <c r="G342">
        <v>3226.5</v>
      </c>
    </row>
    <row r="343" spans="1:7">
      <c r="A343">
        <v>2125</v>
      </c>
      <c r="B343">
        <v>5179</v>
      </c>
      <c r="C343">
        <v>3</v>
      </c>
      <c r="D343">
        <v>73</v>
      </c>
      <c r="E343">
        <v>4129.7</v>
      </c>
      <c r="F343">
        <v>19.600000000000001</v>
      </c>
      <c r="G343">
        <v>1129.0999999999999</v>
      </c>
    </row>
    <row r="344" spans="1:7">
      <c r="A344">
        <v>588</v>
      </c>
      <c r="B344">
        <v>606</v>
      </c>
      <c r="C344">
        <v>0</v>
      </c>
      <c r="D344">
        <v>45</v>
      </c>
      <c r="E344">
        <v>4092.7</v>
      </c>
      <c r="F344">
        <v>550.9</v>
      </c>
      <c r="G344">
        <v>1343.9</v>
      </c>
    </row>
    <row r="345" spans="1:7">
      <c r="A345">
        <v>1164</v>
      </c>
      <c r="B345">
        <v>1683</v>
      </c>
      <c r="C345">
        <v>32</v>
      </c>
      <c r="D345">
        <v>65</v>
      </c>
      <c r="E345">
        <v>4092.3</v>
      </c>
      <c r="F345">
        <v>84.7</v>
      </c>
      <c r="G345">
        <v>964.2</v>
      </c>
    </row>
    <row r="346" spans="1:7">
      <c r="A346">
        <v>3425</v>
      </c>
      <c r="B346">
        <v>4166</v>
      </c>
      <c r="C346">
        <v>2</v>
      </c>
      <c r="D346">
        <v>46</v>
      </c>
      <c r="E346">
        <v>4092</v>
      </c>
      <c r="F346">
        <v>285.10000000000002</v>
      </c>
      <c r="G346">
        <v>6890</v>
      </c>
    </row>
    <row r="347" spans="1:7">
      <c r="A347">
        <v>1770</v>
      </c>
      <c r="B347">
        <v>5647</v>
      </c>
      <c r="C347">
        <v>7</v>
      </c>
      <c r="D347">
        <v>64</v>
      </c>
      <c r="E347">
        <v>4069.3</v>
      </c>
      <c r="F347">
        <v>280.60000000000002</v>
      </c>
      <c r="G347">
        <v>2587.6999999999998</v>
      </c>
    </row>
    <row r="348" spans="1:7">
      <c r="A348">
        <v>998</v>
      </c>
      <c r="B348">
        <v>1051</v>
      </c>
      <c r="C348">
        <v>3</v>
      </c>
      <c r="D348">
        <v>56</v>
      </c>
      <c r="E348">
        <v>4064</v>
      </c>
      <c r="F348">
        <v>297</v>
      </c>
      <c r="G348">
        <v>3944</v>
      </c>
    </row>
    <row r="349" spans="1:7">
      <c r="A349">
        <v>1665</v>
      </c>
      <c r="B349">
        <v>1928</v>
      </c>
      <c r="C349">
        <v>12</v>
      </c>
      <c r="D349">
        <v>80</v>
      </c>
      <c r="E349">
        <v>4050</v>
      </c>
      <c r="F349">
        <v>124.4</v>
      </c>
      <c r="G349">
        <v>15845.2</v>
      </c>
    </row>
    <row r="350" spans="1:7">
      <c r="A350">
        <v>1012</v>
      </c>
      <c r="B350">
        <v>1019</v>
      </c>
      <c r="C350">
        <v>22</v>
      </c>
      <c r="D350">
        <v>60</v>
      </c>
      <c r="E350">
        <v>4041.7</v>
      </c>
      <c r="F350">
        <v>230.9</v>
      </c>
      <c r="G350">
        <v>4929.7</v>
      </c>
    </row>
    <row r="351" spans="1:7">
      <c r="A351">
        <v>2778</v>
      </c>
      <c r="B351">
        <v>2850</v>
      </c>
      <c r="C351">
        <v>15</v>
      </c>
      <c r="D351">
        <v>46</v>
      </c>
      <c r="E351">
        <v>4006.1</v>
      </c>
      <c r="F351">
        <v>46.6</v>
      </c>
      <c r="G351">
        <v>6773</v>
      </c>
    </row>
    <row r="352" spans="1:7">
      <c r="A352">
        <v>1775</v>
      </c>
      <c r="B352">
        <v>1832</v>
      </c>
      <c r="C352">
        <v>11</v>
      </c>
      <c r="D352">
        <v>53</v>
      </c>
      <c r="E352">
        <v>3975.5</v>
      </c>
      <c r="F352">
        <v>144.80000000000001</v>
      </c>
      <c r="G352">
        <v>3416.2</v>
      </c>
    </row>
    <row r="353" spans="1:7">
      <c r="A353">
        <v>1762</v>
      </c>
      <c r="B353">
        <v>19869</v>
      </c>
      <c r="C353">
        <v>7</v>
      </c>
      <c r="D353">
        <v>56</v>
      </c>
      <c r="E353">
        <v>3973.7</v>
      </c>
      <c r="F353">
        <v>793.4</v>
      </c>
      <c r="G353">
        <v>4568.6000000000004</v>
      </c>
    </row>
    <row r="354" spans="1:7">
      <c r="A354">
        <v>2495</v>
      </c>
      <c r="B354">
        <v>7421</v>
      </c>
      <c r="C354">
        <v>19</v>
      </c>
      <c r="D354">
        <v>64</v>
      </c>
      <c r="E354">
        <v>3968.7</v>
      </c>
      <c r="F354">
        <v>309.89999999999998</v>
      </c>
      <c r="G354">
        <v>6942.8</v>
      </c>
    </row>
    <row r="355" spans="1:7">
      <c r="A355">
        <v>1284</v>
      </c>
      <c r="B355">
        <v>3268</v>
      </c>
      <c r="C355">
        <v>2</v>
      </c>
      <c r="D355">
        <v>60</v>
      </c>
      <c r="E355">
        <v>3950.8</v>
      </c>
      <c r="F355">
        <v>226.5</v>
      </c>
      <c r="G355">
        <v>4192.6000000000004</v>
      </c>
    </row>
    <row r="356" spans="1:7">
      <c r="A356">
        <v>3206</v>
      </c>
      <c r="B356">
        <v>5558</v>
      </c>
      <c r="C356">
        <v>4</v>
      </c>
      <c r="D356">
        <v>60</v>
      </c>
      <c r="E356">
        <v>3945.2</v>
      </c>
      <c r="F356">
        <v>186.3</v>
      </c>
      <c r="G356">
        <v>3351.5</v>
      </c>
    </row>
    <row r="357" spans="1:7">
      <c r="A357">
        <v>1462</v>
      </c>
      <c r="B357">
        <v>5251</v>
      </c>
      <c r="C357">
        <v>4</v>
      </c>
      <c r="D357">
        <v>60</v>
      </c>
      <c r="E357">
        <v>3939.1</v>
      </c>
      <c r="F357">
        <v>133</v>
      </c>
      <c r="G357">
        <v>3784</v>
      </c>
    </row>
    <row r="358" spans="1:7">
      <c r="A358">
        <v>1715</v>
      </c>
      <c r="B358">
        <v>2566</v>
      </c>
      <c r="C358">
        <v>2</v>
      </c>
      <c r="D358">
        <v>68</v>
      </c>
      <c r="E358">
        <v>3923.4</v>
      </c>
      <c r="F358">
        <v>241.2</v>
      </c>
      <c r="G358">
        <v>3175.5</v>
      </c>
    </row>
    <row r="359" spans="1:7">
      <c r="A359">
        <v>1789</v>
      </c>
      <c r="B359">
        <v>15493</v>
      </c>
      <c r="C359">
        <v>6</v>
      </c>
      <c r="D359">
        <v>50</v>
      </c>
      <c r="E359">
        <v>3904</v>
      </c>
      <c r="F359">
        <v>254</v>
      </c>
      <c r="G359">
        <v>23088.1</v>
      </c>
    </row>
    <row r="360" spans="1:7">
      <c r="A360">
        <v>885</v>
      </c>
      <c r="B360">
        <v>892</v>
      </c>
      <c r="C360">
        <v>43</v>
      </c>
      <c r="D360">
        <v>72</v>
      </c>
      <c r="E360">
        <v>3867.6</v>
      </c>
      <c r="F360">
        <v>181.9</v>
      </c>
      <c r="G360">
        <v>6331.6</v>
      </c>
    </row>
    <row r="361" spans="1:7">
      <c r="A361">
        <v>2309</v>
      </c>
      <c r="B361">
        <v>2474</v>
      </c>
      <c r="C361">
        <v>24</v>
      </c>
      <c r="D361">
        <v>59</v>
      </c>
      <c r="E361">
        <v>3867.4</v>
      </c>
      <c r="F361">
        <v>53.4</v>
      </c>
      <c r="G361">
        <v>1083.5999999999999</v>
      </c>
    </row>
    <row r="362" spans="1:7">
      <c r="A362">
        <v>787</v>
      </c>
      <c r="B362">
        <v>1087</v>
      </c>
      <c r="C362">
        <v>1</v>
      </c>
      <c r="D362">
        <v>62</v>
      </c>
      <c r="E362">
        <v>3836.1</v>
      </c>
      <c r="F362">
        <v>51.3</v>
      </c>
      <c r="G362">
        <v>6900</v>
      </c>
    </row>
    <row r="363" spans="1:7">
      <c r="A363">
        <v>875</v>
      </c>
      <c r="B363">
        <v>1480</v>
      </c>
      <c r="C363">
        <v>2</v>
      </c>
      <c r="D363">
        <v>61</v>
      </c>
      <c r="E363">
        <v>3836</v>
      </c>
      <c r="F363">
        <v>147</v>
      </c>
      <c r="G363">
        <v>2086</v>
      </c>
    </row>
    <row r="364" spans="1:7">
      <c r="A364">
        <v>711</v>
      </c>
      <c r="B364">
        <v>1481</v>
      </c>
      <c r="C364">
        <v>6</v>
      </c>
      <c r="D364">
        <v>57</v>
      </c>
      <c r="E364">
        <v>3826.4</v>
      </c>
      <c r="F364">
        <v>-120.8</v>
      </c>
      <c r="G364">
        <v>13861.2</v>
      </c>
    </row>
    <row r="365" spans="1:7">
      <c r="A365">
        <v>1000</v>
      </c>
      <c r="B365">
        <v>1000</v>
      </c>
      <c r="C365">
        <v>0</v>
      </c>
      <c r="D365">
        <v>53</v>
      </c>
      <c r="E365">
        <v>3794</v>
      </c>
      <c r="F365">
        <v>-200</v>
      </c>
      <c r="G365">
        <v>11631</v>
      </c>
    </row>
    <row r="366" spans="1:7">
      <c r="A366">
        <v>913</v>
      </c>
      <c r="B366">
        <v>919</v>
      </c>
      <c r="C366">
        <v>6</v>
      </c>
      <c r="D366">
        <v>56</v>
      </c>
      <c r="E366">
        <v>3786</v>
      </c>
      <c r="F366">
        <v>-569</v>
      </c>
      <c r="G366">
        <v>9607</v>
      </c>
    </row>
    <row r="367" spans="1:7">
      <c r="A367">
        <v>501</v>
      </c>
      <c r="B367">
        <v>873</v>
      </c>
      <c r="C367">
        <v>18</v>
      </c>
      <c r="D367">
        <v>61</v>
      </c>
      <c r="E367">
        <v>3776.5</v>
      </c>
      <c r="F367">
        <v>41.9</v>
      </c>
      <c r="G367">
        <v>2860</v>
      </c>
    </row>
    <row r="368" spans="1:7">
      <c r="A368">
        <v>1649</v>
      </c>
      <c r="B368">
        <v>1806</v>
      </c>
      <c r="C368">
        <v>2</v>
      </c>
      <c r="D368">
        <v>52</v>
      </c>
      <c r="E368">
        <v>3767.7</v>
      </c>
      <c r="F368">
        <v>-146.80000000000001</v>
      </c>
      <c r="G368">
        <v>10387.4</v>
      </c>
    </row>
    <row r="369" spans="1:7">
      <c r="A369">
        <v>927</v>
      </c>
      <c r="B369">
        <v>968</v>
      </c>
      <c r="C369">
        <v>15</v>
      </c>
      <c r="D369">
        <v>64</v>
      </c>
      <c r="E369">
        <v>3740.1</v>
      </c>
      <c r="F369">
        <v>64.5</v>
      </c>
      <c r="G369">
        <v>15990</v>
      </c>
    </row>
    <row r="370" spans="1:7">
      <c r="A370">
        <v>1472</v>
      </c>
      <c r="B370">
        <v>3903</v>
      </c>
      <c r="C370">
        <v>1</v>
      </c>
      <c r="D370">
        <v>50</v>
      </c>
      <c r="E370">
        <v>3729.1</v>
      </c>
      <c r="F370">
        <v>333.1</v>
      </c>
      <c r="G370">
        <v>3788.1</v>
      </c>
    </row>
    <row r="371" spans="1:7">
      <c r="A371">
        <v>1604</v>
      </c>
      <c r="B371">
        <v>1620</v>
      </c>
      <c r="C371">
        <v>1</v>
      </c>
      <c r="D371">
        <v>63</v>
      </c>
      <c r="E371">
        <v>3720</v>
      </c>
      <c r="F371">
        <v>396.2</v>
      </c>
      <c r="G371">
        <v>4327.8999999999996</v>
      </c>
    </row>
    <row r="372" spans="1:7">
      <c r="A372">
        <v>2344</v>
      </c>
      <c r="B372">
        <v>5180</v>
      </c>
      <c r="C372">
        <v>11</v>
      </c>
      <c r="D372">
        <v>63</v>
      </c>
      <c r="E372">
        <v>3720</v>
      </c>
      <c r="F372">
        <v>440</v>
      </c>
      <c r="G372">
        <v>3648</v>
      </c>
    </row>
    <row r="373" spans="1:7">
      <c r="A373">
        <v>1238</v>
      </c>
      <c r="B373">
        <v>4433</v>
      </c>
      <c r="C373">
        <v>15</v>
      </c>
      <c r="D373">
        <v>64</v>
      </c>
      <c r="E373">
        <v>3709.8</v>
      </c>
      <c r="F373">
        <v>-530.5</v>
      </c>
      <c r="G373">
        <v>4361.1000000000004</v>
      </c>
    </row>
    <row r="374" spans="1:7">
      <c r="A374">
        <v>525</v>
      </c>
      <c r="B374">
        <v>543</v>
      </c>
      <c r="C374">
        <v>0</v>
      </c>
      <c r="D374">
        <v>47</v>
      </c>
      <c r="E374">
        <v>3700.3</v>
      </c>
      <c r="F374">
        <v>89</v>
      </c>
      <c r="G374">
        <v>4687.7</v>
      </c>
    </row>
    <row r="375" spans="1:7">
      <c r="A375">
        <v>1147</v>
      </c>
      <c r="B375">
        <v>1340</v>
      </c>
      <c r="C375">
        <v>3</v>
      </c>
      <c r="D375">
        <v>60</v>
      </c>
      <c r="E375">
        <v>3688.9</v>
      </c>
      <c r="F375">
        <v>394</v>
      </c>
      <c r="G375">
        <v>4981.8999999999996</v>
      </c>
    </row>
    <row r="376" spans="1:7">
      <c r="A376">
        <v>900</v>
      </c>
      <c r="B376">
        <v>1900</v>
      </c>
      <c r="C376">
        <v>1</v>
      </c>
      <c r="D376">
        <v>55</v>
      </c>
      <c r="E376">
        <v>3684</v>
      </c>
      <c r="F376">
        <v>78.099999999999994</v>
      </c>
      <c r="G376">
        <v>3253.6</v>
      </c>
    </row>
    <row r="377" spans="1:7">
      <c r="A377">
        <v>700</v>
      </c>
      <c r="B377">
        <v>748</v>
      </c>
      <c r="C377">
        <v>0</v>
      </c>
      <c r="D377">
        <v>49</v>
      </c>
      <c r="E377">
        <v>3681.8</v>
      </c>
      <c r="F377">
        <v>192.3</v>
      </c>
      <c r="G377">
        <v>1936.1</v>
      </c>
    </row>
    <row r="378" spans="1:7">
      <c r="A378">
        <v>1245</v>
      </c>
      <c r="B378">
        <v>2326</v>
      </c>
      <c r="C378">
        <v>2</v>
      </c>
      <c r="D378">
        <v>57</v>
      </c>
      <c r="E378">
        <v>3620.3</v>
      </c>
      <c r="F378">
        <v>281.7</v>
      </c>
      <c r="G378">
        <v>6160.8</v>
      </c>
    </row>
    <row r="379" spans="1:7">
      <c r="A379">
        <v>5617</v>
      </c>
      <c r="B379">
        <v>6447</v>
      </c>
      <c r="C379">
        <v>17</v>
      </c>
      <c r="D379">
        <v>66</v>
      </c>
      <c r="E379">
        <v>3618</v>
      </c>
      <c r="F379">
        <v>236.8</v>
      </c>
      <c r="G379">
        <v>2512.8000000000002</v>
      </c>
    </row>
    <row r="380" spans="1:7">
      <c r="A380">
        <v>969</v>
      </c>
      <c r="B380">
        <v>1050</v>
      </c>
      <c r="C380">
        <v>9</v>
      </c>
      <c r="D380">
        <v>60</v>
      </c>
      <c r="E380">
        <v>3610.9</v>
      </c>
      <c r="F380">
        <v>342</v>
      </c>
      <c r="G380">
        <v>7672</v>
      </c>
    </row>
    <row r="381" spans="1:7">
      <c r="A381">
        <v>772</v>
      </c>
      <c r="B381">
        <v>836</v>
      </c>
      <c r="C381">
        <v>2</v>
      </c>
      <c r="D381">
        <v>45</v>
      </c>
      <c r="E381">
        <v>3604.3</v>
      </c>
      <c r="F381">
        <v>67.2</v>
      </c>
      <c r="G381">
        <v>2541.4</v>
      </c>
    </row>
    <row r="382" spans="1:7">
      <c r="A382">
        <v>690</v>
      </c>
      <c r="B382">
        <v>1556</v>
      </c>
      <c r="C382">
        <v>12</v>
      </c>
      <c r="D382">
        <v>60</v>
      </c>
      <c r="E382">
        <v>3553</v>
      </c>
      <c r="F382">
        <v>238.8</v>
      </c>
      <c r="G382">
        <v>6361.9</v>
      </c>
    </row>
    <row r="383" spans="1:7">
      <c r="A383">
        <v>796</v>
      </c>
      <c r="B383">
        <v>1150</v>
      </c>
      <c r="C383">
        <v>2</v>
      </c>
      <c r="D383">
        <v>52</v>
      </c>
      <c r="E383">
        <v>3552.2</v>
      </c>
      <c r="F383">
        <v>62.5</v>
      </c>
      <c r="G383">
        <v>907.6</v>
      </c>
    </row>
    <row r="384" spans="1:7">
      <c r="A384">
        <v>2500</v>
      </c>
      <c r="B384">
        <v>2593</v>
      </c>
      <c r="C384">
        <v>37</v>
      </c>
      <c r="D384">
        <v>67</v>
      </c>
      <c r="E384">
        <v>3542.2</v>
      </c>
      <c r="F384">
        <v>20.6</v>
      </c>
      <c r="G384">
        <v>2261.4</v>
      </c>
    </row>
    <row r="385" spans="1:7">
      <c r="A385">
        <v>746</v>
      </c>
      <c r="B385">
        <v>1199</v>
      </c>
      <c r="C385">
        <v>6</v>
      </c>
      <c r="D385">
        <v>57</v>
      </c>
      <c r="E385">
        <v>3541.5</v>
      </c>
      <c r="F385">
        <v>-290.2</v>
      </c>
      <c r="G385">
        <v>1442.7</v>
      </c>
    </row>
    <row r="386" spans="1:7">
      <c r="A386">
        <v>1145</v>
      </c>
      <c r="B386">
        <v>1150</v>
      </c>
      <c r="C386">
        <v>0</v>
      </c>
      <c r="D386">
        <v>52</v>
      </c>
      <c r="E386">
        <v>3522.6</v>
      </c>
      <c r="F386">
        <v>248</v>
      </c>
      <c r="G386">
        <v>50424.2</v>
      </c>
    </row>
    <row r="387" spans="1:7">
      <c r="A387">
        <v>1800</v>
      </c>
      <c r="B387">
        <v>11996</v>
      </c>
      <c r="C387">
        <v>6</v>
      </c>
      <c r="D387">
        <v>54</v>
      </c>
      <c r="E387">
        <v>3501.6</v>
      </c>
      <c r="F387">
        <v>430.1</v>
      </c>
      <c r="G387">
        <v>38475.800000000003</v>
      </c>
    </row>
    <row r="388" spans="1:7">
      <c r="A388">
        <v>1451</v>
      </c>
      <c r="B388">
        <v>2256</v>
      </c>
      <c r="C388">
        <v>2</v>
      </c>
      <c r="D388">
        <v>63</v>
      </c>
      <c r="E388">
        <v>3483.2</v>
      </c>
      <c r="F388">
        <v>-9</v>
      </c>
      <c r="G388">
        <v>6674.2</v>
      </c>
    </row>
    <row r="389" spans="1:7">
      <c r="A389">
        <v>1458</v>
      </c>
      <c r="B389">
        <v>7825</v>
      </c>
      <c r="C389">
        <v>1</v>
      </c>
      <c r="D389">
        <v>58</v>
      </c>
      <c r="E389">
        <v>3459.9</v>
      </c>
      <c r="F389">
        <v>223.3</v>
      </c>
      <c r="G389">
        <v>2142.6</v>
      </c>
    </row>
    <row r="390" spans="1:7">
      <c r="A390">
        <v>1410</v>
      </c>
      <c r="B390">
        <v>1675</v>
      </c>
      <c r="C390">
        <v>10</v>
      </c>
      <c r="D390">
        <v>56</v>
      </c>
      <c r="E390">
        <v>3432.5</v>
      </c>
      <c r="F390">
        <v>201.2</v>
      </c>
      <c r="G390">
        <v>27607.9</v>
      </c>
    </row>
    <row r="391" spans="1:7">
      <c r="A391">
        <v>6945</v>
      </c>
      <c r="B391">
        <v>38936</v>
      </c>
      <c r="C391">
        <v>21</v>
      </c>
      <c r="D391">
        <v>61</v>
      </c>
      <c r="E391">
        <v>3388.1</v>
      </c>
      <c r="F391">
        <v>348.5</v>
      </c>
      <c r="G391">
        <v>22264</v>
      </c>
    </row>
    <row r="392" spans="1:7">
      <c r="A392">
        <v>1322</v>
      </c>
      <c r="B392">
        <v>2996</v>
      </c>
      <c r="C392">
        <v>39</v>
      </c>
      <c r="D392">
        <v>70</v>
      </c>
      <c r="E392">
        <v>3370.4</v>
      </c>
      <c r="F392">
        <v>248</v>
      </c>
      <c r="G392">
        <v>2535.3000000000002</v>
      </c>
    </row>
    <row r="393" spans="1:7">
      <c r="A393">
        <v>8450</v>
      </c>
      <c r="B393">
        <v>9918</v>
      </c>
      <c r="C393">
        <v>38</v>
      </c>
      <c r="D393">
        <v>59</v>
      </c>
      <c r="E393">
        <v>3369.1</v>
      </c>
      <c r="F393">
        <v>326.39999999999998</v>
      </c>
      <c r="G393">
        <v>12775.3</v>
      </c>
    </row>
    <row r="394" spans="1:7">
      <c r="A394">
        <v>750</v>
      </c>
      <c r="B394">
        <v>11447</v>
      </c>
      <c r="C394">
        <v>7</v>
      </c>
      <c r="D394">
        <v>57</v>
      </c>
      <c r="E394">
        <v>3362</v>
      </c>
      <c r="F394">
        <v>-44</v>
      </c>
      <c r="G394">
        <v>2812</v>
      </c>
    </row>
    <row r="395" spans="1:7">
      <c r="A395">
        <v>817</v>
      </c>
      <c r="B395">
        <v>889</v>
      </c>
      <c r="C395">
        <v>6</v>
      </c>
      <c r="D395">
        <v>60</v>
      </c>
      <c r="E395">
        <v>3358.1</v>
      </c>
      <c r="F395">
        <v>327.7</v>
      </c>
      <c r="G395">
        <v>9195</v>
      </c>
    </row>
    <row r="396" spans="1:7">
      <c r="A396">
        <v>1210</v>
      </c>
      <c r="B396">
        <v>1311</v>
      </c>
      <c r="C396">
        <v>14</v>
      </c>
      <c r="D396">
        <v>65</v>
      </c>
      <c r="E396">
        <v>3347.9</v>
      </c>
      <c r="F396">
        <v>108.5</v>
      </c>
      <c r="G396">
        <v>2566.6999999999998</v>
      </c>
    </row>
    <row r="397" spans="1:7">
      <c r="A397">
        <v>407</v>
      </c>
      <c r="B397">
        <v>427</v>
      </c>
      <c r="C397">
        <v>0</v>
      </c>
      <c r="D397">
        <v>45</v>
      </c>
      <c r="E397">
        <v>3327.3</v>
      </c>
      <c r="F397">
        <v>-10.4</v>
      </c>
      <c r="G397">
        <v>1779.4</v>
      </c>
    </row>
    <row r="398" spans="1:7">
      <c r="A398">
        <v>670</v>
      </c>
      <c r="B398">
        <v>778</v>
      </c>
      <c r="C398">
        <v>7</v>
      </c>
      <c r="D398">
        <v>54</v>
      </c>
      <c r="E398">
        <v>3323.6</v>
      </c>
      <c r="F398">
        <v>94.6</v>
      </c>
      <c r="G398">
        <v>1284.5</v>
      </c>
    </row>
    <row r="399" spans="1:7">
      <c r="A399">
        <v>1338</v>
      </c>
      <c r="B399">
        <v>4199</v>
      </c>
      <c r="C399">
        <v>11</v>
      </c>
      <c r="D399">
        <v>41</v>
      </c>
      <c r="E399">
        <v>3320.9</v>
      </c>
      <c r="F399">
        <v>131.6</v>
      </c>
      <c r="G399">
        <v>3021.3</v>
      </c>
    </row>
    <row r="400" spans="1:7">
      <c r="A400">
        <v>748</v>
      </c>
      <c r="B400">
        <v>802</v>
      </c>
      <c r="C400">
        <v>5</v>
      </c>
      <c r="D400">
        <v>60</v>
      </c>
      <c r="E400">
        <v>3318.2</v>
      </c>
      <c r="F400">
        <v>386.5</v>
      </c>
      <c r="G400">
        <v>8847.4</v>
      </c>
    </row>
    <row r="401" spans="1:7">
      <c r="A401">
        <v>1437</v>
      </c>
      <c r="B401">
        <v>3269</v>
      </c>
      <c r="C401">
        <v>10</v>
      </c>
      <c r="D401">
        <v>50</v>
      </c>
      <c r="E401">
        <v>3304.5</v>
      </c>
      <c r="F401">
        <v>206.4</v>
      </c>
      <c r="G401">
        <v>3793.8</v>
      </c>
    </row>
    <row r="402" spans="1:7">
      <c r="A402">
        <v>2925</v>
      </c>
      <c r="B402">
        <v>3509</v>
      </c>
      <c r="C402">
        <v>4</v>
      </c>
      <c r="D402">
        <v>57</v>
      </c>
      <c r="E402">
        <v>3291.5</v>
      </c>
      <c r="F402">
        <v>1417.3</v>
      </c>
      <c r="G402">
        <v>4218.3</v>
      </c>
    </row>
    <row r="403" spans="1:7">
      <c r="A403">
        <v>1648</v>
      </c>
      <c r="B403">
        <v>1860</v>
      </c>
      <c r="C403">
        <v>8</v>
      </c>
      <c r="D403">
        <v>62</v>
      </c>
      <c r="E403">
        <v>3289.2</v>
      </c>
      <c r="F403">
        <v>136.5</v>
      </c>
      <c r="G403">
        <v>2106.5</v>
      </c>
    </row>
    <row r="404" spans="1:7">
      <c r="A404">
        <v>1048</v>
      </c>
      <c r="B404">
        <v>1872</v>
      </c>
      <c r="C404">
        <v>4</v>
      </c>
      <c r="D404">
        <v>58</v>
      </c>
      <c r="E404">
        <v>3287</v>
      </c>
      <c r="F404">
        <v>101.7</v>
      </c>
      <c r="G404">
        <v>1984.7</v>
      </c>
    </row>
    <row r="405" spans="1:7">
      <c r="A405">
        <v>1520</v>
      </c>
      <c r="B405">
        <v>2951</v>
      </c>
      <c r="C405">
        <v>12</v>
      </c>
      <c r="D405">
        <v>61</v>
      </c>
      <c r="E405">
        <v>3269.1</v>
      </c>
      <c r="F405">
        <v>106.3</v>
      </c>
      <c r="G405">
        <v>1607.2</v>
      </c>
    </row>
    <row r="406" spans="1:7">
      <c r="A406">
        <v>511</v>
      </c>
      <c r="B406">
        <v>587</v>
      </c>
      <c r="C406">
        <v>22</v>
      </c>
      <c r="D406">
        <v>60</v>
      </c>
      <c r="E406">
        <v>3266.9</v>
      </c>
      <c r="F406">
        <v>63.4</v>
      </c>
      <c r="G406">
        <v>1025.0999999999999</v>
      </c>
    </row>
    <row r="407" spans="1:7">
      <c r="A407">
        <v>1920</v>
      </c>
      <c r="B407">
        <v>3328</v>
      </c>
      <c r="C407">
        <v>10</v>
      </c>
      <c r="D407">
        <v>63</v>
      </c>
      <c r="E407">
        <v>3265.8</v>
      </c>
      <c r="F407">
        <v>127.9</v>
      </c>
      <c r="G407">
        <v>1550</v>
      </c>
    </row>
    <row r="408" spans="1:7">
      <c r="A408">
        <v>3300</v>
      </c>
      <c r="B408">
        <v>3514</v>
      </c>
      <c r="C408">
        <v>4</v>
      </c>
      <c r="D408">
        <v>44</v>
      </c>
      <c r="E408">
        <v>3265.1</v>
      </c>
      <c r="F408">
        <v>-286.60000000000002</v>
      </c>
      <c r="G408">
        <v>7061.1</v>
      </c>
    </row>
    <row r="409" spans="1:7">
      <c r="A409">
        <v>1325</v>
      </c>
      <c r="B409">
        <v>1352</v>
      </c>
      <c r="C409">
        <v>6</v>
      </c>
      <c r="D409">
        <v>55</v>
      </c>
      <c r="E409">
        <v>3261</v>
      </c>
      <c r="F409">
        <v>139.30000000000001</v>
      </c>
      <c r="G409">
        <v>1555.9</v>
      </c>
    </row>
    <row r="410" spans="1:7">
      <c r="A410">
        <v>647</v>
      </c>
      <c r="B410">
        <v>673</v>
      </c>
      <c r="C410">
        <v>2</v>
      </c>
      <c r="D410">
        <v>54</v>
      </c>
      <c r="E410">
        <v>3259.1</v>
      </c>
      <c r="F410">
        <v>-120.5</v>
      </c>
      <c r="G410">
        <v>2554.6</v>
      </c>
    </row>
    <row r="411" spans="1:7">
      <c r="A411">
        <v>650</v>
      </c>
      <c r="B411">
        <v>1006</v>
      </c>
      <c r="C411">
        <v>0</v>
      </c>
      <c r="D411">
        <v>34</v>
      </c>
      <c r="E411">
        <v>3243</v>
      </c>
      <c r="F411">
        <v>153</v>
      </c>
      <c r="G411">
        <v>7063</v>
      </c>
    </row>
    <row r="412" spans="1:7">
      <c r="A412">
        <v>774</v>
      </c>
      <c r="B412">
        <v>777</v>
      </c>
      <c r="C412">
        <v>2</v>
      </c>
      <c r="D412">
        <v>51</v>
      </c>
      <c r="E412">
        <v>3242.9</v>
      </c>
      <c r="F412">
        <v>227.9</v>
      </c>
      <c r="G412">
        <v>2748.1</v>
      </c>
    </row>
    <row r="413" spans="1:7">
      <c r="A413">
        <v>900</v>
      </c>
      <c r="B413">
        <v>905</v>
      </c>
      <c r="C413">
        <v>9</v>
      </c>
      <c r="D413">
        <v>55</v>
      </c>
      <c r="E413">
        <v>3234.6</v>
      </c>
      <c r="F413">
        <v>-299.8</v>
      </c>
      <c r="G413">
        <v>3597.8</v>
      </c>
    </row>
    <row r="414" spans="1:7">
      <c r="A414">
        <v>1000</v>
      </c>
      <c r="B414">
        <v>1056</v>
      </c>
      <c r="C414">
        <v>20</v>
      </c>
      <c r="D414">
        <v>55</v>
      </c>
      <c r="E414">
        <v>3224.6</v>
      </c>
      <c r="F414">
        <v>23.9</v>
      </c>
      <c r="G414">
        <v>1740</v>
      </c>
    </row>
    <row r="415" spans="1:7">
      <c r="A415">
        <v>1199</v>
      </c>
      <c r="B415">
        <v>8675</v>
      </c>
      <c r="C415">
        <v>22</v>
      </c>
      <c r="D415">
        <v>59</v>
      </c>
      <c r="E415">
        <v>3221</v>
      </c>
      <c r="F415">
        <v>182</v>
      </c>
      <c r="G415">
        <v>1211.8</v>
      </c>
    </row>
    <row r="416" spans="1:7">
      <c r="A416">
        <v>1950</v>
      </c>
      <c r="B416">
        <v>4441</v>
      </c>
      <c r="C416">
        <v>10</v>
      </c>
      <c r="D416">
        <v>61</v>
      </c>
      <c r="E416">
        <v>3219.9</v>
      </c>
      <c r="F416">
        <v>607.1</v>
      </c>
      <c r="G416">
        <v>36600.800000000003</v>
      </c>
    </row>
    <row r="417" spans="1:7">
      <c r="A417">
        <v>1002</v>
      </c>
      <c r="B417">
        <v>1103</v>
      </c>
      <c r="C417">
        <v>2</v>
      </c>
      <c r="D417">
        <v>46</v>
      </c>
      <c r="E417">
        <v>3203.7</v>
      </c>
      <c r="F417">
        <v>54.7</v>
      </c>
      <c r="G417">
        <v>908.9</v>
      </c>
    </row>
    <row r="418" spans="1:7">
      <c r="A418">
        <v>1087</v>
      </c>
      <c r="B418">
        <v>1093</v>
      </c>
      <c r="C418">
        <v>10</v>
      </c>
      <c r="D418">
        <v>52</v>
      </c>
      <c r="E418">
        <v>3142.1</v>
      </c>
      <c r="F418">
        <v>-62.5</v>
      </c>
      <c r="G418">
        <v>3098.5</v>
      </c>
    </row>
    <row r="419" spans="1:7">
      <c r="A419">
        <v>1100</v>
      </c>
      <c r="B419">
        <v>1390</v>
      </c>
      <c r="C419">
        <v>3</v>
      </c>
      <c r="D419">
        <v>60</v>
      </c>
      <c r="E419">
        <v>3130</v>
      </c>
      <c r="F419">
        <v>399.2</v>
      </c>
      <c r="G419">
        <v>8347.4</v>
      </c>
    </row>
    <row r="420" spans="1:7">
      <c r="A420">
        <v>1163</v>
      </c>
      <c r="B420">
        <v>1288</v>
      </c>
      <c r="C420">
        <v>3</v>
      </c>
      <c r="D420">
        <v>48</v>
      </c>
      <c r="E420">
        <v>3130</v>
      </c>
      <c r="F420">
        <v>332</v>
      </c>
      <c r="G420">
        <v>2357</v>
      </c>
    </row>
    <row r="421" spans="1:7">
      <c r="A421">
        <v>1747</v>
      </c>
      <c r="B421">
        <v>8866</v>
      </c>
      <c r="C421">
        <v>5</v>
      </c>
      <c r="D421">
        <v>64</v>
      </c>
      <c r="E421">
        <v>3116.9</v>
      </c>
      <c r="F421">
        <v>236.6</v>
      </c>
      <c r="G421">
        <v>3846</v>
      </c>
    </row>
    <row r="422" spans="1:7">
      <c r="A422">
        <v>709</v>
      </c>
      <c r="B422">
        <v>709</v>
      </c>
      <c r="C422">
        <v>3</v>
      </c>
      <c r="D422">
        <v>58</v>
      </c>
      <c r="E422">
        <v>3112.1</v>
      </c>
      <c r="F422">
        <v>-28.7</v>
      </c>
      <c r="G422">
        <v>1105.7</v>
      </c>
    </row>
    <row r="423" spans="1:7">
      <c r="A423">
        <v>1990</v>
      </c>
      <c r="B423">
        <v>3286</v>
      </c>
      <c r="C423">
        <v>1</v>
      </c>
      <c r="D423">
        <v>45</v>
      </c>
      <c r="E423">
        <v>3100.6</v>
      </c>
      <c r="F423">
        <v>-459.6</v>
      </c>
      <c r="G423">
        <v>2964.7</v>
      </c>
    </row>
    <row r="424" spans="1:7">
      <c r="A424">
        <v>1075</v>
      </c>
      <c r="B424">
        <v>17811</v>
      </c>
      <c r="C424">
        <v>36</v>
      </c>
      <c r="D424">
        <v>68</v>
      </c>
      <c r="E424">
        <v>3100.2</v>
      </c>
      <c r="F424">
        <v>434.6</v>
      </c>
      <c r="G424">
        <v>38468.699999999997</v>
      </c>
    </row>
    <row r="425" spans="1:7">
      <c r="A425">
        <v>1225</v>
      </c>
      <c r="B425">
        <v>3973</v>
      </c>
      <c r="C425">
        <v>4</v>
      </c>
      <c r="D425">
        <v>58</v>
      </c>
      <c r="E425">
        <v>3099.6</v>
      </c>
      <c r="F425">
        <v>365.9</v>
      </c>
      <c r="G425">
        <v>4257.1000000000004</v>
      </c>
    </row>
    <row r="426" spans="1:7">
      <c r="A426">
        <v>621</v>
      </c>
      <c r="B426">
        <v>701</v>
      </c>
      <c r="C426">
        <v>15</v>
      </c>
      <c r="D426">
        <v>58</v>
      </c>
      <c r="E426">
        <v>3082.1</v>
      </c>
      <c r="F426">
        <v>20.100000000000001</v>
      </c>
      <c r="G426">
        <v>717.8</v>
      </c>
    </row>
    <row r="427" spans="1:7">
      <c r="A427">
        <v>1121</v>
      </c>
      <c r="B427">
        <v>2023</v>
      </c>
      <c r="C427">
        <v>15</v>
      </c>
      <c r="D427">
        <v>61</v>
      </c>
      <c r="E427">
        <v>3074.5</v>
      </c>
      <c r="F427">
        <v>137.30000000000001</v>
      </c>
      <c r="G427">
        <v>1501.6</v>
      </c>
    </row>
    <row r="428" spans="1:7">
      <c r="A428">
        <v>856</v>
      </c>
      <c r="B428">
        <v>2280</v>
      </c>
      <c r="C428">
        <v>1</v>
      </c>
      <c r="D428">
        <v>58</v>
      </c>
      <c r="E428">
        <v>3072.5</v>
      </c>
      <c r="F428">
        <v>421.7</v>
      </c>
      <c r="G428">
        <v>36831.9</v>
      </c>
    </row>
    <row r="429" spans="1:7">
      <c r="A429">
        <v>600</v>
      </c>
      <c r="B429">
        <v>1184</v>
      </c>
      <c r="C429">
        <v>7</v>
      </c>
      <c r="D429">
        <v>56</v>
      </c>
      <c r="E429">
        <v>3071.6</v>
      </c>
      <c r="F429">
        <v>153.19999999999999</v>
      </c>
      <c r="G429">
        <v>6087.7</v>
      </c>
    </row>
    <row r="430" spans="1:7">
      <c r="A430">
        <v>1325</v>
      </c>
      <c r="B430">
        <v>1345</v>
      </c>
      <c r="C430">
        <v>2</v>
      </c>
      <c r="D430">
        <v>53</v>
      </c>
      <c r="E430">
        <v>3064.6</v>
      </c>
      <c r="F430">
        <v>501.5</v>
      </c>
      <c r="G430">
        <v>37210</v>
      </c>
    </row>
    <row r="431" spans="1:7">
      <c r="A431">
        <v>1240</v>
      </c>
      <c r="B431">
        <v>1528</v>
      </c>
      <c r="C431">
        <v>10</v>
      </c>
      <c r="D431">
        <v>63</v>
      </c>
      <c r="E431">
        <v>3063.4</v>
      </c>
      <c r="F431">
        <v>190.9</v>
      </c>
      <c r="G431">
        <v>5036.5</v>
      </c>
    </row>
    <row r="432" spans="1:7">
      <c r="A432">
        <v>1115</v>
      </c>
      <c r="B432">
        <v>1139</v>
      </c>
      <c r="C432">
        <v>2</v>
      </c>
      <c r="D432">
        <v>52</v>
      </c>
      <c r="E432">
        <v>3059.2</v>
      </c>
      <c r="F432">
        <v>58</v>
      </c>
      <c r="G432">
        <v>1167</v>
      </c>
    </row>
    <row r="433" spans="1:7">
      <c r="A433">
        <v>910</v>
      </c>
      <c r="B433">
        <v>4845</v>
      </c>
      <c r="C433">
        <v>1</v>
      </c>
      <c r="D433">
        <v>65</v>
      </c>
      <c r="E433">
        <v>3050.6</v>
      </c>
      <c r="F433">
        <v>108.5</v>
      </c>
      <c r="G433">
        <v>1129.5</v>
      </c>
    </row>
    <row r="434" spans="1:7">
      <c r="A434">
        <v>633</v>
      </c>
      <c r="B434">
        <v>633</v>
      </c>
      <c r="C434">
        <v>2</v>
      </c>
      <c r="D434">
        <v>62</v>
      </c>
      <c r="E434">
        <v>3045.3</v>
      </c>
      <c r="F434">
        <v>-9.4</v>
      </c>
      <c r="G434">
        <v>1147</v>
      </c>
    </row>
    <row r="435" spans="1:7">
      <c r="A435">
        <v>2600</v>
      </c>
      <c r="B435">
        <v>3001</v>
      </c>
      <c r="C435">
        <v>1</v>
      </c>
      <c r="D435">
        <v>54</v>
      </c>
      <c r="E435">
        <v>3025.8</v>
      </c>
      <c r="F435">
        <v>247.8</v>
      </c>
      <c r="G435">
        <v>54812.3</v>
      </c>
    </row>
    <row r="436" spans="1:7">
      <c r="A436">
        <v>1595</v>
      </c>
      <c r="B436">
        <v>1601</v>
      </c>
      <c r="C436">
        <v>1</v>
      </c>
      <c r="D436">
        <v>46</v>
      </c>
      <c r="E436">
        <v>3020.6</v>
      </c>
      <c r="F436">
        <v>243</v>
      </c>
      <c r="G436">
        <v>1483.4</v>
      </c>
    </row>
    <row r="437" spans="1:7">
      <c r="A437">
        <v>663</v>
      </c>
      <c r="B437">
        <v>1663</v>
      </c>
      <c r="C437">
        <v>5</v>
      </c>
      <c r="D437">
        <v>39</v>
      </c>
      <c r="E437">
        <v>3011.9</v>
      </c>
      <c r="F437">
        <v>-233.7</v>
      </c>
      <c r="G437">
        <v>4688.3</v>
      </c>
    </row>
    <row r="438" spans="1:7">
      <c r="A438">
        <v>1227</v>
      </c>
      <c r="B438">
        <v>3004</v>
      </c>
      <c r="C438">
        <v>10</v>
      </c>
      <c r="D438">
        <v>50</v>
      </c>
      <c r="E438">
        <v>3009.2</v>
      </c>
      <c r="F438">
        <v>501.8</v>
      </c>
      <c r="G438">
        <v>34427.199999999997</v>
      </c>
    </row>
    <row r="439" spans="1:7">
      <c r="A439">
        <v>1440</v>
      </c>
      <c r="B439">
        <v>1440</v>
      </c>
      <c r="C439">
        <v>34</v>
      </c>
      <c r="D439">
        <v>58</v>
      </c>
      <c r="E439">
        <v>3005.6</v>
      </c>
      <c r="F439">
        <v>92.4</v>
      </c>
      <c r="G439">
        <v>1807.6</v>
      </c>
    </row>
    <row r="440" spans="1:7">
      <c r="A440">
        <v>1381</v>
      </c>
      <c r="B440">
        <v>1997</v>
      </c>
      <c r="C440">
        <v>8</v>
      </c>
      <c r="D440">
        <v>60</v>
      </c>
      <c r="E440">
        <v>2993.8</v>
      </c>
      <c r="F440">
        <v>55.6</v>
      </c>
      <c r="G440">
        <v>1373.5</v>
      </c>
    </row>
    <row r="441" spans="1:7">
      <c r="A441">
        <v>1697</v>
      </c>
      <c r="B441">
        <v>10485</v>
      </c>
      <c r="C441">
        <v>4</v>
      </c>
      <c r="D441">
        <v>61</v>
      </c>
      <c r="E441">
        <v>2980.9</v>
      </c>
      <c r="F441">
        <v>414.3</v>
      </c>
      <c r="G441">
        <v>5935.6</v>
      </c>
    </row>
    <row r="442" spans="1:7">
      <c r="A442">
        <v>4002</v>
      </c>
      <c r="B442">
        <v>26745</v>
      </c>
      <c r="C442">
        <v>13</v>
      </c>
      <c r="D442">
        <v>55</v>
      </c>
      <c r="E442">
        <v>2972.6</v>
      </c>
      <c r="F442">
        <v>-68</v>
      </c>
      <c r="G442">
        <v>5381.2</v>
      </c>
    </row>
    <row r="443" spans="1:7">
      <c r="A443">
        <v>2698</v>
      </c>
      <c r="B443">
        <v>3413</v>
      </c>
      <c r="C443">
        <v>18</v>
      </c>
      <c r="D443">
        <v>62</v>
      </c>
      <c r="E443">
        <v>2943.3</v>
      </c>
      <c r="F443">
        <v>368.6</v>
      </c>
      <c r="G443">
        <v>38133.800000000003</v>
      </c>
    </row>
    <row r="444" spans="1:7">
      <c r="A444">
        <v>484</v>
      </c>
      <c r="B444">
        <v>1492</v>
      </c>
      <c r="C444">
        <v>0</v>
      </c>
      <c r="D444">
        <v>53</v>
      </c>
      <c r="E444">
        <v>2941.4</v>
      </c>
      <c r="F444">
        <v>60.6</v>
      </c>
      <c r="G444">
        <v>2750.4</v>
      </c>
    </row>
    <row r="445" spans="1:7">
      <c r="A445">
        <v>1073</v>
      </c>
      <c r="B445">
        <v>1090</v>
      </c>
      <c r="C445">
        <v>2</v>
      </c>
      <c r="D445">
        <v>51</v>
      </c>
      <c r="E445">
        <v>2936.7</v>
      </c>
      <c r="F445">
        <v>278.89999999999998</v>
      </c>
      <c r="G445">
        <v>3465.1</v>
      </c>
    </row>
    <row r="446" spans="1:7">
      <c r="A446">
        <v>1866</v>
      </c>
      <c r="B446">
        <v>4311</v>
      </c>
      <c r="C446">
        <v>10</v>
      </c>
      <c r="D446">
        <v>59</v>
      </c>
      <c r="E446">
        <v>2934</v>
      </c>
      <c r="F446">
        <v>375</v>
      </c>
      <c r="G446">
        <v>35800.199999999997</v>
      </c>
    </row>
    <row r="447" spans="1:7">
      <c r="A447">
        <v>906</v>
      </c>
      <c r="B447">
        <v>2627</v>
      </c>
      <c r="C447">
        <v>6</v>
      </c>
      <c r="D447">
        <v>59</v>
      </c>
      <c r="E447">
        <v>2932.8</v>
      </c>
      <c r="F447">
        <v>193.9</v>
      </c>
      <c r="G447">
        <v>4986.5</v>
      </c>
    </row>
    <row r="448" spans="1:7">
      <c r="A448">
        <v>2300</v>
      </c>
      <c r="B448">
        <v>2387</v>
      </c>
      <c r="C448">
        <v>9</v>
      </c>
      <c r="D448">
        <v>57</v>
      </c>
      <c r="E448">
        <v>2910</v>
      </c>
      <c r="F448">
        <v>182.9</v>
      </c>
      <c r="G448">
        <v>2738.7</v>
      </c>
    </row>
    <row r="449" spans="1:7">
      <c r="A449">
        <v>875</v>
      </c>
      <c r="B449">
        <v>1151</v>
      </c>
      <c r="C449">
        <v>7</v>
      </c>
      <c r="D449">
        <v>50</v>
      </c>
      <c r="E449">
        <v>2904.7</v>
      </c>
      <c r="F449">
        <v>132</v>
      </c>
      <c r="G449">
        <v>5008.7</v>
      </c>
    </row>
    <row r="450" spans="1:7">
      <c r="A450">
        <v>1758</v>
      </c>
      <c r="B450">
        <v>2444</v>
      </c>
      <c r="C450">
        <v>5</v>
      </c>
      <c r="D450">
        <v>62</v>
      </c>
      <c r="E450">
        <v>2896.4</v>
      </c>
      <c r="F450">
        <v>16.600000000000001</v>
      </c>
      <c r="G450">
        <v>2854.8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DB29-3782-402A-B125-9D8AD7E048A0}">
  <dimension ref="A1:C50"/>
  <sheetViews>
    <sheetView topLeftCell="A37" workbookViewId="0">
      <selection activeCell="C50" sqref="C50"/>
    </sheetView>
  </sheetViews>
  <sheetFormatPr defaultRowHeight="15"/>
  <sheetData>
    <row r="1" spans="1:3">
      <c r="A1" t="s">
        <v>799</v>
      </c>
    </row>
    <row r="4" spans="1:3">
      <c r="A4" t="s">
        <v>63</v>
      </c>
      <c r="B4" t="s">
        <v>92</v>
      </c>
      <c r="C4" t="s">
        <v>93</v>
      </c>
    </row>
    <row r="5" spans="1:3">
      <c r="A5">
        <v>1960</v>
      </c>
      <c r="B5">
        <v>60.8</v>
      </c>
      <c r="C5">
        <v>48.9</v>
      </c>
    </row>
    <row r="6" spans="1:3">
      <c r="A6">
        <v>1961</v>
      </c>
      <c r="B6">
        <v>62.5</v>
      </c>
      <c r="C6">
        <v>50.6</v>
      </c>
    </row>
    <row r="7" spans="1:3">
      <c r="A7">
        <v>1962</v>
      </c>
      <c r="B7">
        <v>64.599999999999994</v>
      </c>
      <c r="C7">
        <v>52.9</v>
      </c>
    </row>
    <row r="8" spans="1:3">
      <c r="A8">
        <v>1963</v>
      </c>
      <c r="B8">
        <v>66.099999999999994</v>
      </c>
      <c r="C8">
        <v>55</v>
      </c>
    </row>
    <row r="9" spans="1:3">
      <c r="A9">
        <v>1964</v>
      </c>
      <c r="B9">
        <v>67.7</v>
      </c>
      <c r="C9">
        <v>56.8</v>
      </c>
    </row>
    <row r="10" spans="1:3">
      <c r="A10">
        <v>1965</v>
      </c>
      <c r="B10">
        <v>69.099999999999994</v>
      </c>
      <c r="C10">
        <v>58.8</v>
      </c>
    </row>
    <row r="11" spans="1:3">
      <c r="A11">
        <v>1966</v>
      </c>
      <c r="B11">
        <v>71.7</v>
      </c>
      <c r="C11">
        <v>61.2</v>
      </c>
    </row>
    <row r="12" spans="1:3">
      <c r="A12">
        <v>1967</v>
      </c>
      <c r="B12">
        <v>73.5</v>
      </c>
      <c r="C12">
        <v>62.5</v>
      </c>
    </row>
    <row r="13" spans="1:3">
      <c r="A13">
        <v>1968</v>
      </c>
      <c r="B13">
        <v>76.2</v>
      </c>
      <c r="C13">
        <v>64.7</v>
      </c>
    </row>
    <row r="14" spans="1:3">
      <c r="A14">
        <v>1969</v>
      </c>
      <c r="B14">
        <v>77.3</v>
      </c>
      <c r="C14">
        <v>65</v>
      </c>
    </row>
    <row r="15" spans="1:3">
      <c r="A15">
        <v>1970</v>
      </c>
      <c r="B15">
        <v>78.8</v>
      </c>
      <c r="C15">
        <v>66.3</v>
      </c>
    </row>
    <row r="16" spans="1:3">
      <c r="A16">
        <v>1971</v>
      </c>
      <c r="B16">
        <v>80.2</v>
      </c>
      <c r="C16">
        <v>69</v>
      </c>
    </row>
    <row r="17" spans="1:3">
      <c r="A17">
        <v>1972</v>
      </c>
      <c r="B17">
        <v>82.6</v>
      </c>
      <c r="C17">
        <v>71.2</v>
      </c>
    </row>
    <row r="18" spans="1:3">
      <c r="A18">
        <v>1973</v>
      </c>
      <c r="B18">
        <v>84.3</v>
      </c>
      <c r="C18">
        <v>73.400000000000006</v>
      </c>
    </row>
    <row r="19" spans="1:3">
      <c r="A19">
        <v>1974</v>
      </c>
      <c r="B19">
        <v>83.3</v>
      </c>
      <c r="C19">
        <v>72.3</v>
      </c>
    </row>
    <row r="20" spans="1:3">
      <c r="A20">
        <v>1975</v>
      </c>
      <c r="B20">
        <v>84.1</v>
      </c>
      <c r="C20">
        <v>74.8</v>
      </c>
    </row>
    <row r="21" spans="1:3">
      <c r="A21">
        <v>1976</v>
      </c>
      <c r="B21">
        <v>86.4</v>
      </c>
      <c r="C21">
        <v>77.099999999999994</v>
      </c>
    </row>
    <row r="22" spans="1:3">
      <c r="A22">
        <v>1977</v>
      </c>
      <c r="B22">
        <v>87.6</v>
      </c>
      <c r="C22">
        <v>78.5</v>
      </c>
    </row>
    <row r="23" spans="1:3">
      <c r="A23">
        <v>1978</v>
      </c>
      <c r="B23">
        <v>89.1</v>
      </c>
      <c r="C23">
        <v>79.3</v>
      </c>
    </row>
    <row r="24" spans="1:3">
      <c r="A24">
        <v>1979</v>
      </c>
      <c r="B24">
        <v>89.3</v>
      </c>
      <c r="C24">
        <v>79.3</v>
      </c>
    </row>
    <row r="25" spans="1:3">
      <c r="A25">
        <v>1980</v>
      </c>
      <c r="B25">
        <v>89.1</v>
      </c>
      <c r="C25">
        <v>79.2</v>
      </c>
    </row>
    <row r="26" spans="1:3">
      <c r="A26">
        <v>1981</v>
      </c>
      <c r="B26">
        <v>89.3</v>
      </c>
      <c r="C26">
        <v>80.8</v>
      </c>
    </row>
    <row r="27" spans="1:3">
      <c r="A27">
        <v>1982</v>
      </c>
      <c r="B27">
        <v>90.4</v>
      </c>
      <c r="C27">
        <v>80.099999999999994</v>
      </c>
    </row>
    <row r="28" spans="1:3">
      <c r="A28">
        <v>1983</v>
      </c>
      <c r="B28">
        <v>90.3</v>
      </c>
      <c r="C28">
        <v>83</v>
      </c>
    </row>
    <row r="29" spans="1:3">
      <c r="A29">
        <v>1984</v>
      </c>
      <c r="B29">
        <v>90.7</v>
      </c>
      <c r="C29">
        <v>85.2</v>
      </c>
    </row>
    <row r="30" spans="1:3">
      <c r="A30">
        <v>1985</v>
      </c>
      <c r="B30">
        <v>92</v>
      </c>
      <c r="C30">
        <v>87.1</v>
      </c>
    </row>
    <row r="31" spans="1:3">
      <c r="A31">
        <v>1986</v>
      </c>
      <c r="B31">
        <v>94.9</v>
      </c>
      <c r="C31">
        <v>89.7</v>
      </c>
    </row>
    <row r="32" spans="1:3">
      <c r="A32">
        <v>1987</v>
      </c>
      <c r="B32">
        <v>95.2</v>
      </c>
      <c r="C32">
        <v>90.1</v>
      </c>
    </row>
    <row r="33" spans="1:3">
      <c r="A33">
        <v>1988</v>
      </c>
      <c r="B33">
        <v>96.5</v>
      </c>
      <c r="C33">
        <v>91.5</v>
      </c>
    </row>
    <row r="34" spans="1:3">
      <c r="A34">
        <v>1989</v>
      </c>
      <c r="B34">
        <v>95</v>
      </c>
      <c r="C34">
        <v>92.4</v>
      </c>
    </row>
    <row r="35" spans="1:3">
      <c r="A35">
        <v>1990</v>
      </c>
      <c r="B35">
        <v>96.2</v>
      </c>
      <c r="C35">
        <v>94.4</v>
      </c>
    </row>
    <row r="36" spans="1:3">
      <c r="A36">
        <v>1991</v>
      </c>
      <c r="B36">
        <v>97.4</v>
      </c>
      <c r="C36">
        <v>95.9</v>
      </c>
    </row>
    <row r="37" spans="1:3">
      <c r="A37">
        <v>1992</v>
      </c>
      <c r="B37">
        <v>100</v>
      </c>
      <c r="C37">
        <v>100</v>
      </c>
    </row>
    <row r="38" spans="1:3">
      <c r="A38">
        <v>1993</v>
      </c>
      <c r="B38">
        <v>99.7</v>
      </c>
      <c r="C38">
        <v>100.4</v>
      </c>
    </row>
    <row r="39" spans="1:3">
      <c r="A39">
        <v>1994</v>
      </c>
      <c r="B39">
        <v>99</v>
      </c>
      <c r="C39">
        <v>101.3</v>
      </c>
    </row>
    <row r="40" spans="1:3">
      <c r="A40">
        <v>1995</v>
      </c>
      <c r="B40">
        <v>98.7</v>
      </c>
      <c r="C40">
        <v>101.5</v>
      </c>
    </row>
    <row r="41" spans="1:3">
      <c r="A41">
        <v>1996</v>
      </c>
      <c r="B41">
        <v>99.4</v>
      </c>
      <c r="C41">
        <v>104.5</v>
      </c>
    </row>
    <row r="42" spans="1:3">
      <c r="A42">
        <v>1997</v>
      </c>
      <c r="B42">
        <v>100.5</v>
      </c>
      <c r="C42">
        <v>106.5</v>
      </c>
    </row>
    <row r="43" spans="1:3">
      <c r="A43">
        <v>1998</v>
      </c>
      <c r="B43">
        <v>105.2</v>
      </c>
      <c r="C43">
        <v>109.5</v>
      </c>
    </row>
    <row r="44" spans="1:3">
      <c r="A44">
        <v>1999</v>
      </c>
      <c r="B44">
        <v>108</v>
      </c>
      <c r="C44">
        <v>112.8</v>
      </c>
    </row>
    <row r="45" spans="1:3">
      <c r="A45">
        <v>2000</v>
      </c>
      <c r="B45">
        <v>112</v>
      </c>
      <c r="C45">
        <v>116.1</v>
      </c>
    </row>
    <row r="46" spans="1:3">
      <c r="A46">
        <v>2001</v>
      </c>
      <c r="B46">
        <v>113.5</v>
      </c>
      <c r="C46">
        <v>119.1</v>
      </c>
    </row>
    <row r="47" spans="1:3">
      <c r="A47">
        <v>2002</v>
      </c>
      <c r="B47">
        <v>115.7</v>
      </c>
      <c r="C47">
        <v>124</v>
      </c>
    </row>
    <row r="48" spans="1:3">
      <c r="A48">
        <v>2003</v>
      </c>
      <c r="B48">
        <v>117.7</v>
      </c>
      <c r="C48">
        <v>128.69999999999999</v>
      </c>
    </row>
    <row r="49" spans="1:3">
      <c r="A49">
        <v>2004</v>
      </c>
      <c r="B49">
        <v>119</v>
      </c>
      <c r="C49">
        <v>132.69999999999999</v>
      </c>
    </row>
    <row r="50" spans="1:3">
      <c r="A50">
        <v>2005</v>
      </c>
      <c r="B50">
        <v>120.2</v>
      </c>
      <c r="C50">
        <v>135.69999999999999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0C852-2A49-4F38-983B-1F865EB87AB0}">
  <dimension ref="A1:G43"/>
  <sheetViews>
    <sheetView workbookViewId="0">
      <selection activeCell="G43" sqref="G43"/>
    </sheetView>
  </sheetViews>
  <sheetFormatPr defaultRowHeight="15"/>
  <sheetData>
    <row r="1" spans="1:7">
      <c r="A1" t="s">
        <v>800</v>
      </c>
    </row>
    <row r="2" spans="1:7">
      <c r="A2" t="s">
        <v>801</v>
      </c>
    </row>
    <row r="4" spans="1:7">
      <c r="A4" t="s">
        <v>802</v>
      </c>
    </row>
    <row r="5" spans="1:7">
      <c r="A5" t="s">
        <v>803</v>
      </c>
    </row>
    <row r="6" spans="1:7">
      <c r="A6" t="s">
        <v>804</v>
      </c>
    </row>
    <row r="7" spans="1:7">
      <c r="A7" t="s">
        <v>805</v>
      </c>
    </row>
    <row r="8" spans="1:7">
      <c r="A8" t="s">
        <v>806</v>
      </c>
    </row>
    <row r="9" spans="1:7">
      <c r="A9" t="s">
        <v>807</v>
      </c>
    </row>
    <row r="10" spans="1:7">
      <c r="A10" t="s">
        <v>808</v>
      </c>
    </row>
    <row r="13" spans="1:7">
      <c r="A13" t="s">
        <v>456</v>
      </c>
      <c r="B13" t="s">
        <v>524</v>
      </c>
      <c r="C13" t="s">
        <v>642</v>
      </c>
      <c r="D13" t="s">
        <v>643</v>
      </c>
      <c r="E13" t="s">
        <v>220</v>
      </c>
      <c r="F13" t="s">
        <v>734</v>
      </c>
      <c r="G13" t="s">
        <v>730</v>
      </c>
    </row>
    <row r="14" spans="1:7">
      <c r="A14">
        <v>1951</v>
      </c>
      <c r="B14">
        <v>21.89</v>
      </c>
      <c r="C14">
        <v>330.2</v>
      </c>
      <c r="D14">
        <v>45.1</v>
      </c>
      <c r="E14">
        <v>220.4</v>
      </c>
      <c r="F14">
        <v>1491</v>
      </c>
      <c r="G14">
        <v>19</v>
      </c>
    </row>
    <row r="15" spans="1:7">
      <c r="A15">
        <v>1952</v>
      </c>
      <c r="B15">
        <v>22.29</v>
      </c>
      <c r="C15">
        <v>347.2</v>
      </c>
      <c r="D15">
        <v>50.9</v>
      </c>
      <c r="E15">
        <v>259.5</v>
      </c>
      <c r="F15">
        <v>1504</v>
      </c>
      <c r="G15">
        <v>19.41</v>
      </c>
    </row>
    <row r="16" spans="1:7">
      <c r="A16">
        <v>1953</v>
      </c>
      <c r="B16">
        <v>19.63</v>
      </c>
      <c r="C16">
        <v>366.1</v>
      </c>
      <c r="D16">
        <v>53.3</v>
      </c>
      <c r="E16">
        <v>256.3</v>
      </c>
      <c r="F16">
        <v>1438</v>
      </c>
      <c r="G16">
        <v>20.93</v>
      </c>
    </row>
    <row r="17" spans="1:7">
      <c r="A17">
        <v>1954</v>
      </c>
      <c r="B17">
        <v>22.85</v>
      </c>
      <c r="C17">
        <v>366.3</v>
      </c>
      <c r="D17">
        <v>53.6</v>
      </c>
      <c r="E17">
        <v>249.3</v>
      </c>
      <c r="F17">
        <v>1551</v>
      </c>
      <c r="G17">
        <v>21.78</v>
      </c>
    </row>
    <row r="18" spans="1:7">
      <c r="A18">
        <v>1955</v>
      </c>
      <c r="B18">
        <v>33.770000000000003</v>
      </c>
      <c r="C18">
        <v>399.3</v>
      </c>
      <c r="D18">
        <v>54.6</v>
      </c>
      <c r="E18">
        <v>352.3</v>
      </c>
      <c r="F18">
        <v>1646</v>
      </c>
      <c r="G18">
        <v>23.68</v>
      </c>
    </row>
    <row r="19" spans="1:7">
      <c r="A19">
        <v>1956</v>
      </c>
      <c r="B19">
        <v>39.18</v>
      </c>
      <c r="C19">
        <v>420.7</v>
      </c>
      <c r="D19">
        <v>61.1</v>
      </c>
      <c r="E19">
        <v>329.1</v>
      </c>
      <c r="F19">
        <v>1349</v>
      </c>
      <c r="G19">
        <v>26.01</v>
      </c>
    </row>
    <row r="20" spans="1:7">
      <c r="A20">
        <v>1957</v>
      </c>
      <c r="B20">
        <v>30.58</v>
      </c>
      <c r="C20">
        <v>442</v>
      </c>
      <c r="D20">
        <v>61.9</v>
      </c>
      <c r="E20">
        <v>219.6</v>
      </c>
      <c r="F20">
        <v>1224</v>
      </c>
      <c r="G20">
        <v>27.52</v>
      </c>
    </row>
    <row r="21" spans="1:7">
      <c r="A21">
        <v>1958</v>
      </c>
      <c r="B21">
        <v>26.3</v>
      </c>
      <c r="C21">
        <v>447</v>
      </c>
      <c r="D21">
        <v>57.9</v>
      </c>
      <c r="E21">
        <v>234.8</v>
      </c>
      <c r="F21">
        <v>1382</v>
      </c>
      <c r="G21">
        <v>26.89</v>
      </c>
    </row>
    <row r="22" spans="1:7">
      <c r="A22">
        <v>1959</v>
      </c>
      <c r="B22">
        <v>30.7</v>
      </c>
      <c r="C22">
        <v>483</v>
      </c>
      <c r="D22">
        <v>64.8</v>
      </c>
      <c r="E22">
        <v>237.4</v>
      </c>
      <c r="F22">
        <v>1553.7</v>
      </c>
      <c r="G22">
        <v>26.85</v>
      </c>
    </row>
    <row r="23" spans="1:7">
      <c r="A23">
        <v>1960</v>
      </c>
      <c r="B23">
        <v>32.1</v>
      </c>
      <c r="C23">
        <v>506</v>
      </c>
      <c r="D23">
        <v>66.2</v>
      </c>
      <c r="E23">
        <v>245.8</v>
      </c>
      <c r="F23">
        <v>1296.0999999999999</v>
      </c>
      <c r="G23">
        <v>27.23</v>
      </c>
    </row>
    <row r="24" spans="1:7">
      <c r="A24">
        <v>1961</v>
      </c>
      <c r="B24">
        <v>30</v>
      </c>
      <c r="C24">
        <v>523.29999999999995</v>
      </c>
      <c r="D24">
        <v>66.7</v>
      </c>
      <c r="E24">
        <v>229.2</v>
      </c>
      <c r="F24">
        <v>1365</v>
      </c>
      <c r="G24">
        <v>25.46</v>
      </c>
    </row>
    <row r="25" spans="1:7">
      <c r="A25">
        <v>1962</v>
      </c>
      <c r="B25">
        <v>30.8</v>
      </c>
      <c r="C25">
        <v>563.79999999999995</v>
      </c>
      <c r="D25">
        <v>72.2</v>
      </c>
      <c r="E25">
        <v>233.9</v>
      </c>
      <c r="F25">
        <v>1492.5</v>
      </c>
      <c r="G25">
        <v>23.88</v>
      </c>
    </row>
    <row r="26" spans="1:7">
      <c r="A26">
        <v>1963</v>
      </c>
      <c r="B26">
        <v>30.8</v>
      </c>
      <c r="C26">
        <v>594.70000000000005</v>
      </c>
      <c r="D26">
        <v>76.5</v>
      </c>
      <c r="E26">
        <v>234.2</v>
      </c>
      <c r="F26">
        <v>1634.9</v>
      </c>
      <c r="G26">
        <v>22.62</v>
      </c>
    </row>
    <row r="27" spans="1:7">
      <c r="A27">
        <v>1964</v>
      </c>
      <c r="B27">
        <v>32.6</v>
      </c>
      <c r="C27">
        <v>635.70000000000005</v>
      </c>
      <c r="D27">
        <v>81.7</v>
      </c>
      <c r="E27">
        <v>347</v>
      </c>
      <c r="F27">
        <v>1561</v>
      </c>
      <c r="G27">
        <v>23.72</v>
      </c>
    </row>
    <row r="28" spans="1:7">
      <c r="A28">
        <v>1965</v>
      </c>
      <c r="B28">
        <v>35.4</v>
      </c>
      <c r="C28">
        <v>688.1</v>
      </c>
      <c r="D28">
        <v>89.8</v>
      </c>
      <c r="E28">
        <v>468.1</v>
      </c>
      <c r="F28">
        <v>1509.7</v>
      </c>
      <c r="G28">
        <v>24.5</v>
      </c>
    </row>
    <row r="29" spans="1:7">
      <c r="A29">
        <v>1966</v>
      </c>
      <c r="B29">
        <v>36.6</v>
      </c>
      <c r="C29">
        <v>753</v>
      </c>
      <c r="D29">
        <v>97.8</v>
      </c>
      <c r="E29">
        <v>555</v>
      </c>
      <c r="F29">
        <v>1195.8</v>
      </c>
      <c r="G29">
        <v>24.5</v>
      </c>
    </row>
    <row r="30" spans="1:7">
      <c r="A30">
        <v>1967</v>
      </c>
      <c r="B30">
        <v>38.6</v>
      </c>
      <c r="C30">
        <v>796.3</v>
      </c>
      <c r="D30">
        <v>100</v>
      </c>
      <c r="E30">
        <v>418</v>
      </c>
      <c r="F30">
        <v>1321.9</v>
      </c>
      <c r="G30">
        <v>24.98</v>
      </c>
    </row>
    <row r="31" spans="1:7">
      <c r="A31">
        <v>1968</v>
      </c>
      <c r="B31">
        <v>42.2</v>
      </c>
      <c r="C31">
        <v>868.5</v>
      </c>
      <c r="D31">
        <v>106.3</v>
      </c>
      <c r="E31">
        <v>525.20000000000005</v>
      </c>
      <c r="F31">
        <v>1545.4</v>
      </c>
      <c r="G31">
        <v>25.58</v>
      </c>
    </row>
    <row r="32" spans="1:7">
      <c r="A32">
        <v>1969</v>
      </c>
      <c r="B32">
        <v>47.9</v>
      </c>
      <c r="C32">
        <v>935.5</v>
      </c>
      <c r="D32">
        <v>111.1</v>
      </c>
      <c r="E32">
        <v>620.70000000000005</v>
      </c>
      <c r="F32">
        <v>1499.5</v>
      </c>
      <c r="G32">
        <v>27.18</v>
      </c>
    </row>
    <row r="33" spans="1:7">
      <c r="A33">
        <v>1970</v>
      </c>
      <c r="B33">
        <v>58.2</v>
      </c>
      <c r="C33">
        <v>982.4</v>
      </c>
      <c r="D33">
        <v>107.8</v>
      </c>
      <c r="E33">
        <v>588.6</v>
      </c>
      <c r="F33">
        <v>1469</v>
      </c>
      <c r="G33">
        <v>28.72</v>
      </c>
    </row>
    <row r="34" spans="1:7">
      <c r="A34">
        <v>1971</v>
      </c>
      <c r="B34">
        <v>52</v>
      </c>
      <c r="C34">
        <v>1063.4000000000001</v>
      </c>
      <c r="D34">
        <v>109.6</v>
      </c>
      <c r="E34">
        <v>444.4</v>
      </c>
      <c r="F34">
        <v>2084.5</v>
      </c>
      <c r="G34">
        <v>29</v>
      </c>
    </row>
    <row r="35" spans="1:7">
      <c r="A35">
        <v>1972</v>
      </c>
      <c r="B35">
        <v>51.2</v>
      </c>
      <c r="C35">
        <v>1171.0999999999999</v>
      </c>
      <c r="D35">
        <v>119.7</v>
      </c>
      <c r="E35">
        <v>427.8</v>
      </c>
      <c r="F35">
        <v>2378.5</v>
      </c>
      <c r="G35">
        <v>26.67</v>
      </c>
    </row>
    <row r="36" spans="1:7">
      <c r="A36">
        <v>1973</v>
      </c>
      <c r="B36">
        <v>59.5</v>
      </c>
      <c r="C36">
        <v>1306.5999999999999</v>
      </c>
      <c r="D36">
        <v>129.80000000000001</v>
      </c>
      <c r="E36">
        <v>727.1</v>
      </c>
      <c r="F36">
        <v>2057.5</v>
      </c>
      <c r="G36">
        <v>25.33</v>
      </c>
    </row>
    <row r="37" spans="1:7">
      <c r="A37">
        <v>1974</v>
      </c>
      <c r="B37">
        <v>77.3</v>
      </c>
      <c r="C37">
        <v>1412.9</v>
      </c>
      <c r="D37">
        <v>129.30000000000001</v>
      </c>
      <c r="E37">
        <v>877.6</v>
      </c>
      <c r="F37">
        <v>1352.5</v>
      </c>
      <c r="G37">
        <v>34.06</v>
      </c>
    </row>
    <row r="38" spans="1:7">
      <c r="A38">
        <v>1975</v>
      </c>
      <c r="B38">
        <v>64.2</v>
      </c>
      <c r="C38">
        <v>1528.8</v>
      </c>
      <c r="D38">
        <v>117.8</v>
      </c>
      <c r="E38">
        <v>556.6</v>
      </c>
      <c r="F38">
        <v>1171.4000000000001</v>
      </c>
      <c r="G38">
        <v>39.79</v>
      </c>
    </row>
    <row r="39" spans="1:7">
      <c r="A39">
        <v>1976</v>
      </c>
      <c r="B39">
        <v>69.599999999999994</v>
      </c>
      <c r="C39">
        <v>1700.1</v>
      </c>
      <c r="D39">
        <v>129.80000000000001</v>
      </c>
      <c r="E39">
        <v>780.6</v>
      </c>
      <c r="F39">
        <v>1547.6</v>
      </c>
      <c r="G39">
        <v>44.49</v>
      </c>
    </row>
    <row r="40" spans="1:7">
      <c r="A40">
        <v>1977</v>
      </c>
      <c r="B40">
        <v>66.8</v>
      </c>
      <c r="C40">
        <v>1887.2</v>
      </c>
      <c r="D40">
        <v>137.1</v>
      </c>
      <c r="E40">
        <v>750.7</v>
      </c>
      <c r="F40">
        <v>1989.8</v>
      </c>
      <c r="G40">
        <v>51.23</v>
      </c>
    </row>
    <row r="41" spans="1:7">
      <c r="A41">
        <v>1978</v>
      </c>
      <c r="B41">
        <v>66.5</v>
      </c>
      <c r="C41">
        <v>2127.6</v>
      </c>
      <c r="D41">
        <v>145.19999999999999</v>
      </c>
      <c r="E41">
        <v>709.8</v>
      </c>
      <c r="F41">
        <v>2023.3</v>
      </c>
      <c r="G41">
        <v>54.42</v>
      </c>
    </row>
    <row r="42" spans="1:7">
      <c r="A42">
        <v>1979</v>
      </c>
      <c r="B42">
        <v>98.3</v>
      </c>
      <c r="C42">
        <v>2628.8</v>
      </c>
      <c r="D42">
        <v>152.5</v>
      </c>
      <c r="E42">
        <v>935.7</v>
      </c>
      <c r="F42">
        <v>1749.2</v>
      </c>
      <c r="G42">
        <v>61.01</v>
      </c>
    </row>
    <row r="43" spans="1:7">
      <c r="A43">
        <v>1980</v>
      </c>
      <c r="B43">
        <v>101.4</v>
      </c>
      <c r="C43">
        <v>2633.1</v>
      </c>
      <c r="D43">
        <v>147.1</v>
      </c>
      <c r="E43">
        <v>940.9</v>
      </c>
      <c r="F43">
        <v>1298.5</v>
      </c>
      <c r="G43">
        <v>70.87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F9813-B08D-4516-BB7D-582DC28B8C2F}">
  <dimension ref="A1:F14"/>
  <sheetViews>
    <sheetView workbookViewId="0">
      <selection activeCell="E4" sqref="E4:F14"/>
    </sheetView>
  </sheetViews>
  <sheetFormatPr defaultRowHeight="15"/>
  <sheetData>
    <row r="1" spans="1:6">
      <c r="A1" s="21" t="s">
        <v>94</v>
      </c>
      <c r="B1" s="21"/>
    </row>
    <row r="2" spans="1:6">
      <c r="A2" s="21" t="s">
        <v>95</v>
      </c>
      <c r="B2" s="21" t="s">
        <v>96</v>
      </c>
    </row>
    <row r="4" spans="1:6">
      <c r="A4" s="21" t="s">
        <v>92</v>
      </c>
      <c r="B4" s="21" t="s">
        <v>93</v>
      </c>
      <c r="E4" s="39" t="s">
        <v>92</v>
      </c>
      <c r="F4" s="39" t="s">
        <v>93</v>
      </c>
    </row>
    <row r="5" spans="1:6">
      <c r="A5" s="21">
        <v>55</v>
      </c>
      <c r="B5" s="21">
        <v>80</v>
      </c>
      <c r="E5">
        <f>A5*10</f>
        <v>550</v>
      </c>
      <c r="F5">
        <f>B5*10</f>
        <v>800</v>
      </c>
    </row>
    <row r="6" spans="1:6">
      <c r="A6" s="21">
        <v>88</v>
      </c>
      <c r="B6" s="21">
        <v>100</v>
      </c>
      <c r="E6">
        <f t="shared" ref="E6:F14" si="0">A6*10</f>
        <v>880</v>
      </c>
      <c r="F6">
        <f t="shared" si="0"/>
        <v>1000</v>
      </c>
    </row>
    <row r="7" spans="1:6">
      <c r="A7" s="21">
        <v>90</v>
      </c>
      <c r="B7" s="21">
        <v>120</v>
      </c>
      <c r="E7">
        <f t="shared" si="0"/>
        <v>900</v>
      </c>
      <c r="F7">
        <f t="shared" si="0"/>
        <v>1200</v>
      </c>
    </row>
    <row r="8" spans="1:6">
      <c r="A8" s="21">
        <v>80</v>
      </c>
      <c r="B8" s="21">
        <v>140</v>
      </c>
      <c r="E8">
        <f t="shared" si="0"/>
        <v>800</v>
      </c>
      <c r="F8">
        <f t="shared" si="0"/>
        <v>1400</v>
      </c>
    </row>
    <row r="9" spans="1:6">
      <c r="A9" s="21">
        <v>118</v>
      </c>
      <c r="B9" s="21">
        <v>160</v>
      </c>
      <c r="E9">
        <f t="shared" si="0"/>
        <v>1180</v>
      </c>
      <c r="F9">
        <f t="shared" si="0"/>
        <v>1600</v>
      </c>
    </row>
    <row r="10" spans="1:6">
      <c r="A10" s="21">
        <v>120</v>
      </c>
      <c r="B10" s="21">
        <v>180</v>
      </c>
      <c r="E10">
        <f t="shared" si="0"/>
        <v>1200</v>
      </c>
      <c r="F10">
        <f t="shared" si="0"/>
        <v>1800</v>
      </c>
    </row>
    <row r="11" spans="1:6">
      <c r="A11" s="21">
        <v>145</v>
      </c>
      <c r="B11" s="21">
        <v>200</v>
      </c>
      <c r="E11">
        <f t="shared" si="0"/>
        <v>1450</v>
      </c>
      <c r="F11">
        <f t="shared" si="0"/>
        <v>2000</v>
      </c>
    </row>
    <row r="12" spans="1:6">
      <c r="A12" s="21">
        <v>135</v>
      </c>
      <c r="B12" s="21">
        <v>220</v>
      </c>
      <c r="E12">
        <f t="shared" si="0"/>
        <v>1350</v>
      </c>
      <c r="F12">
        <f t="shared" si="0"/>
        <v>2200</v>
      </c>
    </row>
    <row r="13" spans="1:6">
      <c r="A13" s="21">
        <v>145</v>
      </c>
      <c r="B13" s="21">
        <v>240</v>
      </c>
      <c r="E13">
        <f t="shared" si="0"/>
        <v>1450</v>
      </c>
      <c r="F13">
        <f t="shared" si="0"/>
        <v>2400</v>
      </c>
    </row>
    <row r="14" spans="1:6">
      <c r="A14" s="21">
        <v>175</v>
      </c>
      <c r="B14" s="21">
        <v>260</v>
      </c>
      <c r="E14">
        <f t="shared" si="0"/>
        <v>1750</v>
      </c>
      <c r="F14">
        <f t="shared" si="0"/>
        <v>2600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0A4E1-C26A-4E85-ACA4-01F5845C20CD}">
  <dimension ref="A1:D22"/>
  <sheetViews>
    <sheetView workbookViewId="0">
      <selection activeCell="D22" sqref="D22"/>
    </sheetView>
  </sheetViews>
  <sheetFormatPr defaultRowHeight="15"/>
  <sheetData>
    <row r="1" spans="1:4">
      <c r="A1" t="s">
        <v>809</v>
      </c>
    </row>
    <row r="2" spans="1:4">
      <c r="A2" t="s">
        <v>810</v>
      </c>
    </row>
    <row r="3" spans="1:4">
      <c r="A3" t="s">
        <v>811</v>
      </c>
    </row>
    <row r="4" spans="1:4">
      <c r="A4" t="s">
        <v>812</v>
      </c>
    </row>
    <row r="5" spans="1:4">
      <c r="A5" t="s">
        <v>813</v>
      </c>
    </row>
    <row r="7" spans="1:4">
      <c r="A7" t="s">
        <v>92</v>
      </c>
      <c r="B7" t="s">
        <v>93</v>
      </c>
      <c r="C7" t="s">
        <v>814</v>
      </c>
      <c r="D7" t="s">
        <v>815</v>
      </c>
    </row>
    <row r="8" spans="1:4">
      <c r="A8">
        <v>281.39999999999998</v>
      </c>
      <c r="B8">
        <v>1</v>
      </c>
      <c r="C8">
        <v>261.42079999999999</v>
      </c>
      <c r="D8">
        <v>19.979099999999999</v>
      </c>
    </row>
    <row r="9" spans="1:4">
      <c r="A9">
        <v>288.10000000000002</v>
      </c>
      <c r="B9">
        <v>2</v>
      </c>
      <c r="C9">
        <v>276.6026</v>
      </c>
      <c r="D9">
        <v>11.497299999999999</v>
      </c>
    </row>
    <row r="10" spans="1:4">
      <c r="A10">
        <v>290</v>
      </c>
      <c r="B10">
        <v>3</v>
      </c>
      <c r="C10">
        <v>291.78440000000001</v>
      </c>
      <c r="D10">
        <v>-1.7844</v>
      </c>
    </row>
    <row r="11" spans="1:4">
      <c r="A11">
        <v>307.3</v>
      </c>
      <c r="B11">
        <v>4</v>
      </c>
      <c r="C11">
        <v>306.96609999999998</v>
      </c>
      <c r="D11">
        <v>0.33379999999999999</v>
      </c>
    </row>
    <row r="12" spans="1:4">
      <c r="A12">
        <v>316.10000000000002</v>
      </c>
      <c r="B12">
        <v>5</v>
      </c>
      <c r="C12">
        <v>322.14789999999999</v>
      </c>
      <c r="D12">
        <v>-6.0479000000000003</v>
      </c>
    </row>
    <row r="13" spans="1:4">
      <c r="A13">
        <v>322.5</v>
      </c>
      <c r="B13">
        <v>6</v>
      </c>
      <c r="C13">
        <v>337.3297</v>
      </c>
      <c r="D13">
        <v>-14.829700000000001</v>
      </c>
    </row>
    <row r="14" spans="1:4">
      <c r="A14">
        <v>338.4</v>
      </c>
      <c r="B14">
        <v>7</v>
      </c>
      <c r="C14">
        <v>352.51150000000001</v>
      </c>
      <c r="D14">
        <v>-14.111499999999999</v>
      </c>
    </row>
    <row r="15" spans="1:4">
      <c r="A15">
        <v>353.3</v>
      </c>
      <c r="B15">
        <v>8</v>
      </c>
      <c r="C15">
        <v>367.69330000000002</v>
      </c>
      <c r="D15">
        <v>-14.3933</v>
      </c>
    </row>
    <row r="16" spans="1:4">
      <c r="A16">
        <v>373.7</v>
      </c>
      <c r="B16">
        <v>9</v>
      </c>
      <c r="C16">
        <v>382.87509999999997</v>
      </c>
      <c r="D16">
        <v>-9.1751000000000005</v>
      </c>
    </row>
    <row r="17" spans="1:4">
      <c r="A17">
        <v>397.7</v>
      </c>
      <c r="B17">
        <v>10</v>
      </c>
      <c r="C17">
        <v>398.05689999999998</v>
      </c>
      <c r="D17">
        <v>-0.3569</v>
      </c>
    </row>
    <row r="18" spans="1:4">
      <c r="A18">
        <v>418.1</v>
      </c>
      <c r="B18">
        <v>11</v>
      </c>
      <c r="C18">
        <v>413.23860000000002</v>
      </c>
      <c r="D18">
        <v>4.8613</v>
      </c>
    </row>
    <row r="19" spans="1:4">
      <c r="A19">
        <v>430.1</v>
      </c>
      <c r="B19">
        <v>12</v>
      </c>
      <c r="C19">
        <v>428.42059999999998</v>
      </c>
      <c r="D19">
        <v>1.6795</v>
      </c>
    </row>
    <row r="20" spans="1:4">
      <c r="A20">
        <v>452.7</v>
      </c>
      <c r="B20">
        <v>13</v>
      </c>
      <c r="C20">
        <v>443.60219999999998</v>
      </c>
      <c r="D20">
        <v>9.0976999999999997</v>
      </c>
    </row>
    <row r="21" spans="1:4">
      <c r="A21">
        <v>469.1</v>
      </c>
      <c r="B21">
        <v>14</v>
      </c>
      <c r="C21">
        <v>458.78399999999999</v>
      </c>
      <c r="D21">
        <v>10.315899999999999</v>
      </c>
    </row>
    <row r="22" spans="1:4">
      <c r="A22">
        <v>476.9</v>
      </c>
      <c r="B22">
        <v>15</v>
      </c>
      <c r="C22">
        <v>473.9658</v>
      </c>
      <c r="D22">
        <v>2.9340999999999999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F7BF-6842-4122-807E-5D4D8B45BC2E}">
  <dimension ref="A1:D44"/>
  <sheetViews>
    <sheetView topLeftCell="A34" workbookViewId="0">
      <selection activeCell="D44" sqref="D44"/>
    </sheetView>
  </sheetViews>
  <sheetFormatPr defaultRowHeight="15"/>
  <sheetData>
    <row r="1" spans="1:4">
      <c r="A1" t="s">
        <v>816</v>
      </c>
    </row>
    <row r="3" spans="1:4">
      <c r="A3" t="s">
        <v>63</v>
      </c>
      <c r="B3" t="s">
        <v>817</v>
      </c>
      <c r="C3" t="s">
        <v>818</v>
      </c>
      <c r="D3" t="s">
        <v>443</v>
      </c>
    </row>
    <row r="4" spans="1:4">
      <c r="A4">
        <v>1950</v>
      </c>
      <c r="B4">
        <v>46486</v>
      </c>
      <c r="C4">
        <v>84646</v>
      </c>
      <c r="D4">
        <v>1.8208923100000001</v>
      </c>
    </row>
    <row r="5" spans="1:4">
      <c r="A5">
        <v>1951</v>
      </c>
      <c r="B5">
        <v>50229</v>
      </c>
      <c r="C5">
        <v>90560</v>
      </c>
      <c r="D5">
        <v>1.80294252</v>
      </c>
    </row>
    <row r="6" spans="1:4">
      <c r="A6">
        <v>1952</v>
      </c>
      <c r="B6">
        <v>53501</v>
      </c>
      <c r="C6">
        <v>98145</v>
      </c>
      <c r="D6">
        <v>1.8344516900000001</v>
      </c>
    </row>
    <row r="7" spans="1:4">
      <c r="A7">
        <v>1953</v>
      </c>
      <c r="B7">
        <v>52805</v>
      </c>
      <c r="C7">
        <v>101599</v>
      </c>
      <c r="D7">
        <v>1.92404128</v>
      </c>
    </row>
    <row r="8" spans="1:4">
      <c r="A8">
        <v>1954</v>
      </c>
      <c r="B8">
        <v>55906</v>
      </c>
      <c r="C8">
        <v>102567</v>
      </c>
      <c r="D8">
        <v>1.8346331300000001</v>
      </c>
    </row>
    <row r="9" spans="1:4">
      <c r="A9">
        <v>1955</v>
      </c>
      <c r="B9">
        <v>63027</v>
      </c>
      <c r="C9">
        <v>108121</v>
      </c>
      <c r="D9">
        <v>1.7154711499999999</v>
      </c>
    </row>
    <row r="10" spans="1:4">
      <c r="A10">
        <v>1956</v>
      </c>
      <c r="B10">
        <v>72931</v>
      </c>
      <c r="C10">
        <v>124499</v>
      </c>
      <c r="D10">
        <v>1.70707929</v>
      </c>
    </row>
    <row r="11" spans="1:4">
      <c r="A11">
        <v>1957</v>
      </c>
      <c r="B11">
        <v>84790</v>
      </c>
      <c r="C11">
        <v>157625</v>
      </c>
      <c r="D11">
        <v>1.8590046</v>
      </c>
    </row>
    <row r="12" spans="1:4">
      <c r="A12">
        <v>1958</v>
      </c>
      <c r="B12">
        <v>86589</v>
      </c>
      <c r="C12">
        <v>159708</v>
      </c>
      <c r="D12">
        <v>1.8444375200000001</v>
      </c>
    </row>
    <row r="13" spans="1:4">
      <c r="A13">
        <v>1959</v>
      </c>
      <c r="B13">
        <v>98797</v>
      </c>
      <c r="C13">
        <v>174636</v>
      </c>
      <c r="D13">
        <v>1.76762452</v>
      </c>
    </row>
    <row r="14" spans="1:4">
      <c r="A14">
        <v>1960</v>
      </c>
      <c r="B14">
        <v>113201</v>
      </c>
      <c r="C14">
        <v>188378</v>
      </c>
      <c r="D14">
        <v>1.6641019100000001</v>
      </c>
    </row>
    <row r="15" spans="1:4">
      <c r="A15">
        <v>1961</v>
      </c>
      <c r="B15">
        <v>126905</v>
      </c>
      <c r="C15">
        <v>211691</v>
      </c>
      <c r="D15">
        <v>1.6681060599999999</v>
      </c>
    </row>
    <row r="16" spans="1:4">
      <c r="A16">
        <v>1962</v>
      </c>
      <c r="B16">
        <v>143936</v>
      </c>
      <c r="C16">
        <v>242157</v>
      </c>
      <c r="D16">
        <v>1.68239356</v>
      </c>
    </row>
    <row r="17" spans="1:4">
      <c r="A17">
        <v>1963</v>
      </c>
      <c r="B17">
        <v>154391</v>
      </c>
      <c r="C17">
        <v>265215</v>
      </c>
      <c r="D17">
        <v>1.7178138599999999</v>
      </c>
    </row>
    <row r="18" spans="1:4">
      <c r="A18">
        <v>1964</v>
      </c>
      <c r="B18">
        <v>168129</v>
      </c>
      <c r="C18">
        <v>283413</v>
      </c>
      <c r="D18">
        <v>1.6856877800000001</v>
      </c>
    </row>
    <row r="19" spans="1:4">
      <c r="A19">
        <v>1965</v>
      </c>
      <c r="B19">
        <v>163351</v>
      </c>
      <c r="C19">
        <v>311852</v>
      </c>
      <c r="D19">
        <v>1.9090914699999999</v>
      </c>
    </row>
    <row r="20" spans="1:4">
      <c r="A20">
        <v>1966</v>
      </c>
      <c r="B20">
        <v>172547</v>
      </c>
      <c r="C20">
        <v>312379</v>
      </c>
      <c r="D20">
        <v>1.81039949</v>
      </c>
    </row>
    <row r="21" spans="1:4">
      <c r="A21">
        <v>1967</v>
      </c>
      <c r="B21">
        <v>190682</v>
      </c>
      <c r="C21">
        <v>339516</v>
      </c>
      <c r="D21">
        <v>1.7805351300000001</v>
      </c>
    </row>
    <row r="22" spans="1:4">
      <c r="A22">
        <v>1968</v>
      </c>
      <c r="B22">
        <v>194538</v>
      </c>
      <c r="C22">
        <v>334749</v>
      </c>
      <c r="D22">
        <v>1.7207383599999999</v>
      </c>
    </row>
    <row r="23" spans="1:4">
      <c r="A23">
        <v>1969</v>
      </c>
      <c r="B23">
        <v>194657</v>
      </c>
      <c r="C23">
        <v>322654</v>
      </c>
      <c r="D23">
        <v>1.6575514899999999</v>
      </c>
    </row>
    <row r="24" spans="1:4">
      <c r="A24">
        <v>1970</v>
      </c>
      <c r="B24">
        <v>206326</v>
      </c>
      <c r="C24">
        <v>338109</v>
      </c>
      <c r="D24">
        <v>1.6387125199999999</v>
      </c>
    </row>
    <row r="25" spans="1:4">
      <c r="A25">
        <v>1971</v>
      </c>
      <c r="B25">
        <v>224619</v>
      </c>
      <c r="C25">
        <v>369374</v>
      </c>
      <c r="D25">
        <v>1.64444682</v>
      </c>
    </row>
    <row r="26" spans="1:4">
      <c r="A26">
        <v>1972</v>
      </c>
      <c r="B26">
        <v>236698</v>
      </c>
      <c r="C26">
        <v>391212</v>
      </c>
      <c r="D26">
        <v>1.65278963</v>
      </c>
    </row>
    <row r="27" spans="1:4">
      <c r="A27">
        <v>1973</v>
      </c>
      <c r="B27">
        <v>242686</v>
      </c>
      <c r="C27">
        <v>405073</v>
      </c>
      <c r="D27">
        <v>1.6691238900000001</v>
      </c>
    </row>
    <row r="28" spans="1:4">
      <c r="A28">
        <v>1974</v>
      </c>
      <c r="B28">
        <v>239847</v>
      </c>
      <c r="C28">
        <v>390950</v>
      </c>
      <c r="D28">
        <v>1.62999746</v>
      </c>
    </row>
    <row r="29" spans="1:4">
      <c r="A29">
        <v>1975</v>
      </c>
      <c r="B29">
        <v>250394</v>
      </c>
      <c r="C29">
        <v>382510</v>
      </c>
      <c r="D29">
        <v>1.52763245</v>
      </c>
    </row>
    <row r="30" spans="1:4">
      <c r="A30">
        <v>1976</v>
      </c>
      <c r="B30">
        <v>242002</v>
      </c>
      <c r="C30">
        <v>378762</v>
      </c>
      <c r="D30">
        <v>1.5651193000000001</v>
      </c>
    </row>
    <row r="31" spans="1:4">
      <c r="A31">
        <v>1977</v>
      </c>
      <c r="B31">
        <v>251708</v>
      </c>
      <c r="C31">
        <v>379706</v>
      </c>
      <c r="D31">
        <v>1.5085178100000001</v>
      </c>
    </row>
    <row r="32" spans="1:4">
      <c r="A32">
        <v>1978</v>
      </c>
      <c r="B32">
        <v>269843</v>
      </c>
      <c r="C32">
        <v>399970</v>
      </c>
      <c r="D32">
        <v>1.48223226</v>
      </c>
    </row>
    <row r="33" spans="1:4">
      <c r="A33">
        <v>1979</v>
      </c>
      <c r="B33">
        <v>289973</v>
      </c>
      <c r="C33">
        <v>424843</v>
      </c>
      <c r="D33">
        <v>1.4651122700000001</v>
      </c>
    </row>
    <row r="34" spans="1:4">
      <c r="A34">
        <v>1980</v>
      </c>
      <c r="B34">
        <v>299766</v>
      </c>
      <c r="C34">
        <v>430518</v>
      </c>
      <c r="D34">
        <v>1.43618022</v>
      </c>
    </row>
    <row r="35" spans="1:4">
      <c r="A35">
        <v>1981</v>
      </c>
      <c r="B35">
        <v>319558</v>
      </c>
      <c r="C35">
        <v>443622</v>
      </c>
      <c r="D35">
        <v>1.3882362500000001</v>
      </c>
    </row>
    <row r="36" spans="1:4">
      <c r="A36">
        <v>1982</v>
      </c>
      <c r="B36">
        <v>324984</v>
      </c>
      <c r="C36">
        <v>449083</v>
      </c>
      <c r="D36">
        <v>1.38186188</v>
      </c>
    </row>
    <row r="37" spans="1:4">
      <c r="A37">
        <v>1983</v>
      </c>
      <c r="B37">
        <v>335991</v>
      </c>
      <c r="C37">
        <v>463563</v>
      </c>
      <c r="D37">
        <v>1.37968874</v>
      </c>
    </row>
    <row r="38" spans="1:4">
      <c r="A38">
        <v>1984</v>
      </c>
      <c r="B38">
        <v>350715</v>
      </c>
      <c r="C38">
        <v>481633</v>
      </c>
      <c r="D38">
        <v>1.37328885</v>
      </c>
    </row>
    <row r="39" spans="1:4">
      <c r="A39">
        <v>1985</v>
      </c>
      <c r="B39">
        <v>330875</v>
      </c>
      <c r="C39">
        <v>428108</v>
      </c>
      <c r="D39">
        <v>1.2938662599999999</v>
      </c>
    </row>
    <row r="40" spans="1:4">
      <c r="A40">
        <v>1986</v>
      </c>
      <c r="B40">
        <v>326227</v>
      </c>
      <c r="C40">
        <v>423082</v>
      </c>
      <c r="D40">
        <v>1.2968944899999999</v>
      </c>
    </row>
    <row r="41" spans="1:4">
      <c r="A41">
        <v>1987</v>
      </c>
      <c r="B41">
        <v>334616</v>
      </c>
      <c r="C41">
        <v>408226</v>
      </c>
      <c r="D41">
        <v>1.2199835000000001</v>
      </c>
    </row>
    <row r="42" spans="1:4">
      <c r="A42">
        <v>1988</v>
      </c>
      <c r="B42">
        <v>359081</v>
      </c>
      <c r="C42">
        <v>439821</v>
      </c>
      <c r="D42">
        <v>1.2248517699999999</v>
      </c>
    </row>
    <row r="43" spans="1:4">
      <c r="A43">
        <v>1989</v>
      </c>
      <c r="B43">
        <v>394615</v>
      </c>
      <c r="C43">
        <v>479106</v>
      </c>
      <c r="D43">
        <v>1.21410996</v>
      </c>
    </row>
    <row r="44" spans="1:4">
      <c r="A44">
        <v>1990</v>
      </c>
      <c r="B44">
        <v>411663</v>
      </c>
      <c r="C44">
        <v>509902</v>
      </c>
      <c r="D44">
        <v>1.23863937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3588-9751-4443-94C7-CBA3947885A9}">
  <dimension ref="A1:D31"/>
  <sheetViews>
    <sheetView topLeftCell="A16" workbookViewId="0">
      <selection activeCell="D31" sqref="D31"/>
    </sheetView>
  </sheetViews>
  <sheetFormatPr defaultRowHeight="15"/>
  <sheetData>
    <row r="1" spans="1:4">
      <c r="A1" t="s">
        <v>819</v>
      </c>
    </row>
    <row r="3" spans="1:4">
      <c r="A3" t="s">
        <v>696</v>
      </c>
      <c r="B3" t="s">
        <v>820</v>
      </c>
      <c r="C3" t="s">
        <v>821</v>
      </c>
      <c r="D3" t="s">
        <v>822</v>
      </c>
    </row>
    <row r="4" spans="1:4">
      <c r="A4">
        <v>1954</v>
      </c>
      <c r="B4">
        <v>53</v>
      </c>
      <c r="C4">
        <v>6.7</v>
      </c>
      <c r="D4">
        <v>-0.4</v>
      </c>
    </row>
    <row r="5" spans="1:4">
      <c r="A5">
        <v>1955</v>
      </c>
      <c r="B5">
        <v>31.2</v>
      </c>
      <c r="C5">
        <v>2.1</v>
      </c>
      <c r="D5">
        <v>0.4</v>
      </c>
    </row>
    <row r="6" spans="1:4">
      <c r="A6">
        <v>1956</v>
      </c>
      <c r="B6">
        <v>3.7</v>
      </c>
      <c r="C6">
        <v>1.8</v>
      </c>
      <c r="D6">
        <v>2.9</v>
      </c>
    </row>
    <row r="7" spans="1:4">
      <c r="A7">
        <v>1957</v>
      </c>
      <c r="B7">
        <v>-13.8</v>
      </c>
      <c r="C7">
        <v>-0.4</v>
      </c>
      <c r="D7">
        <v>3</v>
      </c>
    </row>
    <row r="8" spans="1:4">
      <c r="A8">
        <v>1958</v>
      </c>
      <c r="B8">
        <v>41.7</v>
      </c>
      <c r="C8">
        <v>6</v>
      </c>
      <c r="D8">
        <v>1.7</v>
      </c>
    </row>
    <row r="9" spans="1:4">
      <c r="A9">
        <v>1959</v>
      </c>
      <c r="B9">
        <v>10.5</v>
      </c>
      <c r="C9">
        <v>2.1</v>
      </c>
      <c r="D9">
        <v>1.5</v>
      </c>
    </row>
    <row r="10" spans="1:4">
      <c r="A10">
        <v>1960</v>
      </c>
      <c r="B10">
        <v>-1.3</v>
      </c>
      <c r="C10">
        <v>2.6</v>
      </c>
      <c r="D10">
        <v>1.8</v>
      </c>
    </row>
    <row r="11" spans="1:4">
      <c r="A11">
        <v>1961</v>
      </c>
      <c r="B11">
        <v>26.1</v>
      </c>
      <c r="C11">
        <v>5.8</v>
      </c>
      <c r="D11">
        <v>0.8</v>
      </c>
    </row>
    <row r="12" spans="1:4">
      <c r="A12">
        <v>1962</v>
      </c>
      <c r="B12">
        <v>-10.5</v>
      </c>
      <c r="C12">
        <v>4</v>
      </c>
      <c r="D12">
        <v>1.8</v>
      </c>
    </row>
    <row r="13" spans="1:4">
      <c r="A13">
        <v>1963</v>
      </c>
      <c r="B13">
        <v>21.2</v>
      </c>
      <c r="C13">
        <v>5.3</v>
      </c>
      <c r="D13">
        <v>1.6</v>
      </c>
    </row>
    <row r="14" spans="1:4">
      <c r="A14">
        <v>1964</v>
      </c>
      <c r="B14">
        <v>15.5</v>
      </c>
      <c r="C14">
        <v>6</v>
      </c>
      <c r="D14">
        <v>1</v>
      </c>
    </row>
    <row r="15" spans="1:4">
      <c r="A15">
        <v>1965</v>
      </c>
      <c r="B15">
        <v>10.199999999999999</v>
      </c>
      <c r="C15">
        <v>6</v>
      </c>
      <c r="D15">
        <v>2.2999999999999998</v>
      </c>
    </row>
    <row r="16" spans="1:4">
      <c r="A16">
        <v>1966</v>
      </c>
      <c r="B16">
        <v>-13.3</v>
      </c>
      <c r="C16">
        <v>2.7</v>
      </c>
      <c r="D16">
        <v>3.2</v>
      </c>
    </row>
    <row r="17" spans="1:4">
      <c r="A17">
        <v>1967</v>
      </c>
      <c r="B17">
        <v>21.3</v>
      </c>
      <c r="C17">
        <v>4.5999999999999996</v>
      </c>
      <c r="D17">
        <v>2.7</v>
      </c>
    </row>
    <row r="18" spans="1:4">
      <c r="A18">
        <v>1968</v>
      </c>
      <c r="B18">
        <v>6.8</v>
      </c>
      <c r="C18">
        <v>2.8</v>
      </c>
      <c r="D18">
        <v>4.3</v>
      </c>
    </row>
    <row r="19" spans="1:4">
      <c r="A19">
        <v>1969</v>
      </c>
      <c r="B19">
        <v>-13.5</v>
      </c>
      <c r="C19">
        <v>-0.2</v>
      </c>
      <c r="D19">
        <v>5</v>
      </c>
    </row>
    <row r="20" spans="1:4">
      <c r="A20">
        <v>1970</v>
      </c>
      <c r="B20">
        <v>-0.4</v>
      </c>
      <c r="C20">
        <v>3.4</v>
      </c>
      <c r="D20">
        <v>4.4000000000000004</v>
      </c>
    </row>
    <row r="21" spans="1:4">
      <c r="A21">
        <v>1971</v>
      </c>
      <c r="B21">
        <v>10.5</v>
      </c>
      <c r="C21">
        <v>5.7</v>
      </c>
      <c r="D21">
        <v>3.8</v>
      </c>
    </row>
    <row r="22" spans="1:4">
      <c r="A22">
        <v>1972</v>
      </c>
      <c r="B22">
        <v>15.4</v>
      </c>
      <c r="C22">
        <v>5.8</v>
      </c>
      <c r="D22">
        <v>3.6</v>
      </c>
    </row>
    <row r="23" spans="1:4">
      <c r="A23">
        <v>1973</v>
      </c>
      <c r="B23">
        <v>-22.6</v>
      </c>
      <c r="C23">
        <v>-0.6</v>
      </c>
      <c r="D23">
        <v>7.9</v>
      </c>
    </row>
    <row r="24" spans="1:4">
      <c r="A24">
        <v>1974</v>
      </c>
      <c r="B24">
        <v>-37.299999999999997</v>
      </c>
      <c r="C24">
        <v>-1.2</v>
      </c>
      <c r="D24">
        <v>10.8</v>
      </c>
    </row>
    <row r="25" spans="1:4">
      <c r="A25">
        <v>1975</v>
      </c>
      <c r="B25">
        <v>31.2</v>
      </c>
      <c r="C25">
        <v>5.4</v>
      </c>
      <c r="D25">
        <v>6</v>
      </c>
    </row>
    <row r="26" spans="1:4">
      <c r="A26">
        <v>1976</v>
      </c>
      <c r="B26">
        <v>19.100000000000001</v>
      </c>
      <c r="C26">
        <v>5.5</v>
      </c>
      <c r="D26">
        <v>4.7</v>
      </c>
    </row>
    <row r="27" spans="1:4">
      <c r="A27">
        <v>1977</v>
      </c>
      <c r="B27">
        <v>-13.1</v>
      </c>
      <c r="C27">
        <v>5</v>
      </c>
      <c r="D27">
        <v>5.9</v>
      </c>
    </row>
    <row r="28" spans="1:4">
      <c r="A28">
        <v>1978</v>
      </c>
      <c r="B28">
        <v>-1.3</v>
      </c>
      <c r="C28">
        <v>2.8</v>
      </c>
      <c r="D28">
        <v>7.9</v>
      </c>
    </row>
    <row r="29" spans="1:4">
      <c r="A29">
        <v>1979</v>
      </c>
      <c r="B29">
        <v>8.6</v>
      </c>
      <c r="C29">
        <v>-0.3</v>
      </c>
      <c r="D29">
        <v>9.8000000000000007</v>
      </c>
    </row>
    <row r="30" spans="1:4">
      <c r="A30">
        <v>1980</v>
      </c>
      <c r="B30">
        <v>-22.2</v>
      </c>
      <c r="C30">
        <v>2.6</v>
      </c>
      <c r="D30">
        <v>10.199999999999999</v>
      </c>
    </row>
    <row r="31" spans="1:4">
      <c r="A31">
        <v>1981</v>
      </c>
      <c r="B31">
        <v>-12.2</v>
      </c>
      <c r="C31">
        <v>-1.9</v>
      </c>
      <c r="D31">
        <v>7.3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B8BD-2038-41D9-B5F3-627FE4BF605A}">
  <dimension ref="A1:G23"/>
  <sheetViews>
    <sheetView topLeftCell="A4" workbookViewId="0">
      <selection activeCell="G23" sqref="G23"/>
    </sheetView>
  </sheetViews>
  <sheetFormatPr defaultRowHeight="15"/>
  <cols>
    <col min="1" max="1" width="61.7109375" bestFit="1" customWidth="1"/>
  </cols>
  <sheetData>
    <row r="1" spans="1:7">
      <c r="A1" t="s">
        <v>823</v>
      </c>
    </row>
    <row r="2" spans="1:7">
      <c r="A2" t="s">
        <v>824</v>
      </c>
    </row>
    <row r="3" spans="1:7">
      <c r="A3" t="s">
        <v>825</v>
      </c>
    </row>
    <row r="5" spans="1:7">
      <c r="A5" t="s">
        <v>826</v>
      </c>
    </row>
    <row r="6" spans="1:7">
      <c r="A6" t="s">
        <v>827</v>
      </c>
    </row>
    <row r="7" spans="1:7">
      <c r="A7" t="s">
        <v>828</v>
      </c>
    </row>
    <row r="8" spans="1:7">
      <c r="A8" t="s">
        <v>829</v>
      </c>
    </row>
    <row r="9" spans="1:7">
      <c r="A9" t="s">
        <v>830</v>
      </c>
    </row>
    <row r="10" spans="1:7">
      <c r="A10" t="s">
        <v>831</v>
      </c>
    </row>
    <row r="11" spans="1:7">
      <c r="A11" t="s">
        <v>832</v>
      </c>
    </row>
    <row r="13" spans="1:7">
      <c r="A13" t="s">
        <v>833</v>
      </c>
      <c r="B13" t="s">
        <v>834</v>
      </c>
      <c r="C13" t="s">
        <v>92</v>
      </c>
      <c r="D13" t="s">
        <v>93</v>
      </c>
      <c r="E13" t="s">
        <v>732</v>
      </c>
      <c r="F13" t="s">
        <v>640</v>
      </c>
      <c r="G13" t="s">
        <v>815</v>
      </c>
    </row>
    <row r="14" spans="1:7">
      <c r="A14">
        <v>75.4666</v>
      </c>
      <c r="B14">
        <v>80</v>
      </c>
      <c r="C14">
        <v>67.601100000000002</v>
      </c>
      <c r="D14">
        <v>80.093999999999994</v>
      </c>
      <c r="E14">
        <v>-7.8654999999999999</v>
      </c>
      <c r="F14">
        <v>9.4E-2</v>
      </c>
      <c r="G14">
        <v>2.4666000000000001</v>
      </c>
    </row>
    <row r="15" spans="1:7">
      <c r="A15">
        <v>74.980099999999993</v>
      </c>
      <c r="B15">
        <v>100</v>
      </c>
      <c r="C15">
        <v>75.443799999999996</v>
      </c>
      <c r="D15">
        <v>91.572100000000006</v>
      </c>
      <c r="E15">
        <v>0.46360000000000001</v>
      </c>
      <c r="F15">
        <v>-8.4278999999999993</v>
      </c>
      <c r="G15">
        <v>-10.0199</v>
      </c>
    </row>
    <row r="16" spans="1:7">
      <c r="A16">
        <v>102.8242</v>
      </c>
      <c r="B16">
        <v>120</v>
      </c>
      <c r="C16">
        <v>109.6956</v>
      </c>
      <c r="D16">
        <v>112.14060000000001</v>
      </c>
      <c r="E16">
        <v>6.8714000000000004</v>
      </c>
      <c r="F16">
        <v>2.1406000000000001</v>
      </c>
      <c r="G16">
        <v>5.8242000000000003</v>
      </c>
    </row>
    <row r="17" spans="1:7">
      <c r="A17">
        <v>125.7651</v>
      </c>
      <c r="B17">
        <v>140</v>
      </c>
      <c r="C17">
        <v>129.41589999999999</v>
      </c>
      <c r="D17">
        <v>145.59690000000001</v>
      </c>
      <c r="E17">
        <v>3.6509</v>
      </c>
      <c r="F17">
        <v>5.5968999999999998</v>
      </c>
      <c r="G17">
        <v>16.7651</v>
      </c>
    </row>
    <row r="18" spans="1:7">
      <c r="A18">
        <v>106.5035</v>
      </c>
      <c r="B18">
        <v>160</v>
      </c>
      <c r="C18">
        <v>104.2388</v>
      </c>
      <c r="D18">
        <v>168.55789999999999</v>
      </c>
      <c r="E18">
        <v>-2.2646999999999999</v>
      </c>
      <c r="F18">
        <v>8.5579000000000001</v>
      </c>
      <c r="G18">
        <v>-14.496499999999999</v>
      </c>
    </row>
    <row r="19" spans="1:7">
      <c r="A19">
        <v>131.43180000000001</v>
      </c>
      <c r="B19">
        <v>180</v>
      </c>
      <c r="C19">
        <v>125.8319</v>
      </c>
      <c r="D19">
        <v>171.47929999999999</v>
      </c>
      <c r="E19">
        <v>-5.5998999999999999</v>
      </c>
      <c r="F19">
        <v>-8.5206999999999997</v>
      </c>
      <c r="G19">
        <v>-1.5682</v>
      </c>
    </row>
    <row r="20" spans="1:7">
      <c r="A20">
        <v>149.36930000000001</v>
      </c>
      <c r="B20">
        <v>200</v>
      </c>
      <c r="C20">
        <v>153.99260000000001</v>
      </c>
      <c r="D20">
        <v>203.53659999999999</v>
      </c>
      <c r="E20">
        <v>4.6233000000000004</v>
      </c>
      <c r="F20">
        <v>3.5366</v>
      </c>
      <c r="G20">
        <v>4.3693</v>
      </c>
    </row>
    <row r="21" spans="1:7">
      <c r="A21">
        <v>143.86279999999999</v>
      </c>
      <c r="B21">
        <v>220</v>
      </c>
      <c r="C21">
        <v>152.92080000000001</v>
      </c>
      <c r="D21">
        <v>222.85329999999999</v>
      </c>
      <c r="E21">
        <v>9.0579000000000001</v>
      </c>
      <c r="F21">
        <v>2.8532999999999999</v>
      </c>
      <c r="G21">
        <v>-13.1372</v>
      </c>
    </row>
    <row r="22" spans="1:7">
      <c r="A22">
        <v>177.52180000000001</v>
      </c>
      <c r="B22">
        <v>240</v>
      </c>
      <c r="C22">
        <v>176.33439999999999</v>
      </c>
      <c r="D22">
        <v>232.9879</v>
      </c>
      <c r="E22">
        <v>-1.1874</v>
      </c>
      <c r="F22">
        <v>-7.0119999999999996</v>
      </c>
      <c r="G22">
        <v>8.5218000000000007</v>
      </c>
    </row>
    <row r="23" spans="1:7">
      <c r="A23">
        <v>182.2748</v>
      </c>
      <c r="B23">
        <v>260</v>
      </c>
      <c r="C23">
        <v>174.52520000000001</v>
      </c>
      <c r="D23">
        <v>261.18130000000002</v>
      </c>
      <c r="E23">
        <v>-7.7496</v>
      </c>
      <c r="F23">
        <v>1.1813</v>
      </c>
      <c r="G23">
        <v>1.2747999999999999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3BF54-3175-402D-B859-8FEDCAFBC43D}">
  <dimension ref="A1:C40"/>
  <sheetViews>
    <sheetView topLeftCell="A25" workbookViewId="0">
      <selection activeCell="C40" sqref="C40"/>
    </sheetView>
  </sheetViews>
  <sheetFormatPr defaultRowHeight="15"/>
  <sheetData>
    <row r="1" spans="1:3">
      <c r="A1" t="s">
        <v>835</v>
      </c>
      <c r="B1" t="s">
        <v>836</v>
      </c>
    </row>
    <row r="2" spans="1:3">
      <c r="B2" t="s">
        <v>837</v>
      </c>
    </row>
    <row r="4" spans="1:3">
      <c r="A4" t="s">
        <v>63</v>
      </c>
      <c r="B4" t="s">
        <v>838</v>
      </c>
      <c r="C4" t="s">
        <v>839</v>
      </c>
    </row>
    <row r="5" spans="1:3">
      <c r="A5">
        <v>1970</v>
      </c>
      <c r="B5" s="86">
        <v>3162</v>
      </c>
      <c r="C5" s="86">
        <v>3587</v>
      </c>
    </row>
    <row r="6" spans="1:3">
      <c r="A6">
        <v>1971</v>
      </c>
      <c r="B6" s="86">
        <v>3379</v>
      </c>
      <c r="C6" s="86">
        <v>3860</v>
      </c>
    </row>
    <row r="7" spans="1:3">
      <c r="A7">
        <v>1972</v>
      </c>
      <c r="B7" s="86">
        <v>3671</v>
      </c>
      <c r="C7" s="86">
        <v>4140</v>
      </c>
    </row>
    <row r="8" spans="1:3">
      <c r="A8">
        <v>1973</v>
      </c>
      <c r="B8" s="86">
        <v>4022</v>
      </c>
      <c r="C8" s="86">
        <v>4616</v>
      </c>
    </row>
    <row r="9" spans="1:3">
      <c r="A9">
        <v>1974</v>
      </c>
      <c r="B9" s="86">
        <v>4364</v>
      </c>
      <c r="C9" s="86">
        <v>5010</v>
      </c>
    </row>
    <row r="10" spans="1:3">
      <c r="A10">
        <v>1975</v>
      </c>
      <c r="B10" s="86">
        <v>4789</v>
      </c>
      <c r="C10" s="86">
        <v>5498</v>
      </c>
    </row>
    <row r="11" spans="1:3">
      <c r="A11">
        <v>1976</v>
      </c>
      <c r="B11" s="86">
        <v>5282</v>
      </c>
      <c r="C11" s="86">
        <v>5972</v>
      </c>
    </row>
    <row r="12" spans="1:3">
      <c r="A12">
        <v>1977</v>
      </c>
      <c r="B12" s="86">
        <v>5804</v>
      </c>
      <c r="C12" s="86">
        <v>6517</v>
      </c>
    </row>
    <row r="13" spans="1:3">
      <c r="A13">
        <v>1978</v>
      </c>
      <c r="B13" s="86">
        <v>6417</v>
      </c>
      <c r="C13" s="86">
        <v>7224</v>
      </c>
    </row>
    <row r="14" spans="1:3">
      <c r="A14">
        <v>1979</v>
      </c>
      <c r="B14" s="86">
        <v>7073</v>
      </c>
      <c r="C14" s="86">
        <v>7967</v>
      </c>
    </row>
    <row r="15" spans="1:3">
      <c r="A15">
        <v>1980</v>
      </c>
      <c r="B15" s="86">
        <v>7716</v>
      </c>
      <c r="C15" s="86">
        <v>8822</v>
      </c>
    </row>
    <row r="16" spans="1:3">
      <c r="A16">
        <v>1981</v>
      </c>
      <c r="B16" s="86">
        <v>8439</v>
      </c>
      <c r="C16" s="86">
        <v>9765</v>
      </c>
    </row>
    <row r="17" spans="1:3">
      <c r="A17">
        <v>1982</v>
      </c>
      <c r="B17" s="86">
        <v>8945</v>
      </c>
      <c r="C17" s="86">
        <v>10426</v>
      </c>
    </row>
    <row r="18" spans="1:3">
      <c r="A18">
        <v>1983</v>
      </c>
      <c r="B18" s="86">
        <v>9775</v>
      </c>
      <c r="C18" s="86">
        <v>11131</v>
      </c>
    </row>
    <row r="19" spans="1:3">
      <c r="A19">
        <v>1984</v>
      </c>
      <c r="B19" s="86">
        <v>10589</v>
      </c>
      <c r="C19" s="86">
        <v>12319</v>
      </c>
    </row>
    <row r="20" spans="1:3">
      <c r="A20">
        <v>1985</v>
      </c>
      <c r="B20" s="86">
        <v>11406</v>
      </c>
      <c r="C20" s="86">
        <v>13037</v>
      </c>
    </row>
    <row r="21" spans="1:3">
      <c r="A21">
        <v>1986</v>
      </c>
      <c r="B21" s="86">
        <v>12048</v>
      </c>
      <c r="C21" s="86">
        <v>13649</v>
      </c>
    </row>
    <row r="22" spans="1:3">
      <c r="A22">
        <v>1987</v>
      </c>
      <c r="B22" s="86">
        <v>12766</v>
      </c>
      <c r="C22" s="86">
        <v>14241</v>
      </c>
    </row>
    <row r="23" spans="1:3">
      <c r="A23">
        <v>1988</v>
      </c>
      <c r="B23" s="86">
        <v>13685</v>
      </c>
      <c r="C23" s="86">
        <v>15297</v>
      </c>
    </row>
    <row r="24" spans="1:3">
      <c r="A24">
        <v>1989</v>
      </c>
      <c r="B24" s="86">
        <v>14546</v>
      </c>
      <c r="C24" s="86">
        <v>16257</v>
      </c>
    </row>
    <row r="25" spans="1:3">
      <c r="A25">
        <v>1990</v>
      </c>
      <c r="B25" s="86">
        <v>15349</v>
      </c>
      <c r="C25" s="86">
        <v>17131</v>
      </c>
    </row>
    <row r="26" spans="1:3">
      <c r="A26">
        <v>1991</v>
      </c>
      <c r="B26" s="86">
        <v>15722</v>
      </c>
      <c r="C26" s="86">
        <v>17609</v>
      </c>
    </row>
    <row r="27" spans="1:3">
      <c r="A27">
        <v>1992</v>
      </c>
      <c r="B27" s="86">
        <v>16485</v>
      </c>
      <c r="C27" s="86">
        <v>18494</v>
      </c>
    </row>
    <row r="28" spans="1:3">
      <c r="A28">
        <v>1993</v>
      </c>
      <c r="B28" s="86">
        <v>17204</v>
      </c>
      <c r="C28" s="86">
        <v>18872</v>
      </c>
    </row>
    <row r="29" spans="1:3">
      <c r="A29">
        <v>1994</v>
      </c>
      <c r="B29" s="86">
        <v>18004</v>
      </c>
      <c r="C29" s="86">
        <v>19555</v>
      </c>
    </row>
    <row r="30" spans="1:3">
      <c r="A30">
        <v>1995</v>
      </c>
      <c r="B30" s="86">
        <v>18665</v>
      </c>
      <c r="C30" s="86">
        <v>20287</v>
      </c>
    </row>
    <row r="31" spans="1:3">
      <c r="A31">
        <v>1996</v>
      </c>
      <c r="B31" s="86">
        <v>19490</v>
      </c>
      <c r="C31" s="86">
        <v>21091</v>
      </c>
    </row>
    <row r="32" spans="1:3">
      <c r="A32">
        <v>1997</v>
      </c>
      <c r="B32" s="86">
        <v>20323</v>
      </c>
      <c r="C32" s="86">
        <v>21940</v>
      </c>
    </row>
    <row r="33" spans="1:3">
      <c r="A33">
        <v>1998</v>
      </c>
      <c r="B33" s="86">
        <v>21291</v>
      </c>
      <c r="C33" s="86">
        <v>23161</v>
      </c>
    </row>
    <row r="34" spans="1:3">
      <c r="A34">
        <v>1999</v>
      </c>
      <c r="B34" s="86">
        <v>22491</v>
      </c>
      <c r="C34" s="86">
        <v>23968</v>
      </c>
    </row>
    <row r="35" spans="1:3">
      <c r="A35">
        <v>2000</v>
      </c>
      <c r="B35" s="86">
        <v>23862</v>
      </c>
      <c r="C35" s="86">
        <v>25472</v>
      </c>
    </row>
    <row r="36" spans="1:3">
      <c r="A36">
        <v>2001</v>
      </c>
      <c r="B36" s="86">
        <v>24722</v>
      </c>
      <c r="C36" s="86">
        <v>26235</v>
      </c>
    </row>
    <row r="37" spans="1:3">
      <c r="A37">
        <v>2002</v>
      </c>
      <c r="B37" s="86">
        <v>25501</v>
      </c>
      <c r="C37" s="86">
        <v>27164</v>
      </c>
    </row>
    <row r="38" spans="1:3">
      <c r="A38">
        <v>2003</v>
      </c>
      <c r="B38" s="86">
        <v>26463</v>
      </c>
      <c r="C38" s="86">
        <v>28039</v>
      </c>
    </row>
    <row r="39" spans="1:3">
      <c r="A39">
        <v>2004</v>
      </c>
      <c r="B39" s="86">
        <v>27937</v>
      </c>
      <c r="C39" s="86">
        <v>29536</v>
      </c>
    </row>
    <row r="40" spans="1:3">
      <c r="A40">
        <v>2005</v>
      </c>
      <c r="B40" s="86">
        <v>29468</v>
      </c>
      <c r="C40" s="86">
        <v>30458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6FAD-078B-4FEF-A442-D5147A5263F6}">
  <dimension ref="A1:C19"/>
  <sheetViews>
    <sheetView workbookViewId="0">
      <selection activeCell="C19" sqref="C19"/>
    </sheetView>
  </sheetViews>
  <sheetFormatPr defaultRowHeight="15"/>
  <sheetData>
    <row r="1" spans="1:3">
      <c r="A1" t="s">
        <v>840</v>
      </c>
    </row>
    <row r="2" spans="1:3">
      <c r="A2" t="s">
        <v>841</v>
      </c>
    </row>
    <row r="4" spans="1:3">
      <c r="A4" t="s">
        <v>842</v>
      </c>
    </row>
    <row r="5" spans="1:3">
      <c r="A5" t="s">
        <v>843</v>
      </c>
    </row>
    <row r="7" spans="1:3">
      <c r="B7" t="s">
        <v>92</v>
      </c>
      <c r="C7" t="s">
        <v>93</v>
      </c>
    </row>
    <row r="8" spans="1:3">
      <c r="A8">
        <v>1</v>
      </c>
      <c r="B8">
        <v>0.52</v>
      </c>
      <c r="C8">
        <v>0.5</v>
      </c>
    </row>
    <row r="9" spans="1:3">
      <c r="A9">
        <v>2</v>
      </c>
      <c r="B9">
        <v>0.50800000000000001</v>
      </c>
      <c r="C9">
        <v>5</v>
      </c>
    </row>
    <row r="10" spans="1:3">
      <c r="A10">
        <v>3</v>
      </c>
      <c r="B10">
        <v>0.48399999999999999</v>
      </c>
      <c r="C10">
        <v>10</v>
      </c>
    </row>
    <row r="11" spans="1:3">
      <c r="A11">
        <v>4</v>
      </c>
      <c r="B11">
        <v>0.46</v>
      </c>
      <c r="C11">
        <v>15</v>
      </c>
    </row>
    <row r="12" spans="1:3">
      <c r="A12">
        <v>5</v>
      </c>
      <c r="B12">
        <v>0.43980000000000002</v>
      </c>
      <c r="C12">
        <v>20</v>
      </c>
    </row>
    <row r="13" spans="1:3">
      <c r="A13">
        <v>6</v>
      </c>
      <c r="B13">
        <v>0.42380000000000001</v>
      </c>
      <c r="C13">
        <v>25</v>
      </c>
    </row>
    <row r="14" spans="1:3">
      <c r="A14">
        <v>7</v>
      </c>
      <c r="B14">
        <v>0.41149999999999998</v>
      </c>
      <c r="C14">
        <v>30</v>
      </c>
    </row>
    <row r="15" spans="1:3">
      <c r="A15">
        <v>8</v>
      </c>
      <c r="B15">
        <v>0.40200000000000002</v>
      </c>
      <c r="C15">
        <v>35</v>
      </c>
    </row>
    <row r="16" spans="1:3">
      <c r="A16">
        <v>9</v>
      </c>
      <c r="B16">
        <v>0.39439999999999997</v>
      </c>
      <c r="C16">
        <v>40</v>
      </c>
    </row>
    <row r="17" spans="1:3">
      <c r="A17">
        <v>10</v>
      </c>
      <c r="B17">
        <v>0.38800000000000001</v>
      </c>
      <c r="C17">
        <v>45</v>
      </c>
    </row>
    <row r="18" spans="1:3">
      <c r="A18">
        <v>11</v>
      </c>
      <c r="B18">
        <v>0.38250000000000001</v>
      </c>
      <c r="C18">
        <v>55</v>
      </c>
    </row>
    <row r="19" spans="1:3">
      <c r="A19">
        <v>12</v>
      </c>
      <c r="B19">
        <v>0.37380000000000002</v>
      </c>
      <c r="C19">
        <v>60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284E-1B5E-4133-BDB8-7205DD68D6F8}">
  <dimension ref="A1:C43"/>
  <sheetViews>
    <sheetView workbookViewId="0">
      <selection activeCell="C41" sqref="C41"/>
    </sheetView>
  </sheetViews>
  <sheetFormatPr defaultRowHeight="15"/>
  <sheetData>
    <row r="1" spans="1:3">
      <c r="A1" t="s">
        <v>844</v>
      </c>
    </row>
    <row r="3" spans="1:3">
      <c r="A3" t="s">
        <v>114</v>
      </c>
      <c r="B3" t="s">
        <v>456</v>
      </c>
      <c r="C3" t="s">
        <v>845</v>
      </c>
    </row>
    <row r="4" spans="1:3">
      <c r="A4">
        <v>1970</v>
      </c>
      <c r="B4">
        <v>1970</v>
      </c>
      <c r="C4">
        <v>205052</v>
      </c>
    </row>
    <row r="5" spans="1:3">
      <c r="A5">
        <v>1971</v>
      </c>
      <c r="B5">
        <v>1971</v>
      </c>
      <c r="C5">
        <v>207661</v>
      </c>
    </row>
    <row r="6" spans="1:3">
      <c r="A6">
        <v>1972</v>
      </c>
      <c r="B6">
        <v>1972</v>
      </c>
      <c r="C6">
        <v>209896</v>
      </c>
    </row>
    <row r="7" spans="1:3">
      <c r="A7">
        <v>1973</v>
      </c>
      <c r="B7">
        <v>1973</v>
      </c>
      <c r="C7">
        <v>211909</v>
      </c>
    </row>
    <row r="8" spans="1:3">
      <c r="A8">
        <v>1974</v>
      </c>
      <c r="B8">
        <v>1974</v>
      </c>
      <c r="C8">
        <v>213854</v>
      </c>
    </row>
    <row r="9" spans="1:3">
      <c r="A9">
        <v>1975</v>
      </c>
      <c r="B9">
        <v>1975</v>
      </c>
      <c r="C9">
        <v>215973</v>
      </c>
    </row>
    <row r="10" spans="1:3">
      <c r="A10">
        <v>1976</v>
      </c>
      <c r="B10">
        <v>1976</v>
      </c>
      <c r="C10">
        <v>218035</v>
      </c>
    </row>
    <row r="11" spans="1:3">
      <c r="A11">
        <v>1977</v>
      </c>
      <c r="B11">
        <v>1977</v>
      </c>
      <c r="C11">
        <v>220239</v>
      </c>
    </row>
    <row r="12" spans="1:3">
      <c r="A12">
        <v>1978</v>
      </c>
      <c r="B12">
        <v>1978</v>
      </c>
      <c r="C12">
        <v>222585</v>
      </c>
    </row>
    <row r="13" spans="1:3">
      <c r="A13">
        <v>1979</v>
      </c>
      <c r="B13">
        <v>1979</v>
      </c>
      <c r="C13">
        <v>225055</v>
      </c>
    </row>
    <row r="14" spans="1:3">
      <c r="A14">
        <v>1980</v>
      </c>
      <c r="B14">
        <v>1980</v>
      </c>
      <c r="C14">
        <v>227726</v>
      </c>
    </row>
    <row r="15" spans="1:3">
      <c r="A15">
        <v>1981</v>
      </c>
      <c r="B15">
        <v>1981</v>
      </c>
      <c r="C15">
        <v>229966</v>
      </c>
    </row>
    <row r="16" spans="1:3">
      <c r="A16">
        <v>1982</v>
      </c>
      <c r="B16">
        <v>1982</v>
      </c>
      <c r="C16">
        <v>232188</v>
      </c>
    </row>
    <row r="17" spans="1:3">
      <c r="A17">
        <v>1983</v>
      </c>
      <c r="B17">
        <v>1983</v>
      </c>
      <c r="C17">
        <v>234307</v>
      </c>
    </row>
    <row r="18" spans="1:3">
      <c r="A18">
        <v>1984</v>
      </c>
      <c r="B18">
        <v>1984</v>
      </c>
      <c r="C18">
        <v>236348</v>
      </c>
    </row>
    <row r="19" spans="1:3">
      <c r="A19">
        <v>1985</v>
      </c>
      <c r="B19">
        <v>1985</v>
      </c>
      <c r="C19">
        <v>238466</v>
      </c>
    </row>
    <row r="20" spans="1:3">
      <c r="A20">
        <v>1986</v>
      </c>
      <c r="B20">
        <v>1986</v>
      </c>
      <c r="C20">
        <v>240651</v>
      </c>
    </row>
    <row r="21" spans="1:3">
      <c r="A21">
        <v>1987</v>
      </c>
      <c r="B21">
        <v>1987</v>
      </c>
      <c r="C21">
        <v>242804</v>
      </c>
    </row>
    <row r="22" spans="1:3">
      <c r="A22">
        <v>1988</v>
      </c>
      <c r="B22">
        <v>1988</v>
      </c>
      <c r="C22">
        <v>245021</v>
      </c>
    </row>
    <row r="23" spans="1:3">
      <c r="A23">
        <v>1989</v>
      </c>
      <c r="B23">
        <v>1989</v>
      </c>
      <c r="C23">
        <v>247342</v>
      </c>
    </row>
    <row r="24" spans="1:3">
      <c r="A24">
        <v>1990</v>
      </c>
      <c r="B24">
        <v>1990</v>
      </c>
      <c r="C24">
        <v>250132</v>
      </c>
    </row>
    <row r="25" spans="1:3">
      <c r="A25">
        <v>1991</v>
      </c>
      <c r="B25">
        <v>1991</v>
      </c>
      <c r="C25">
        <v>253493</v>
      </c>
    </row>
    <row r="26" spans="1:3">
      <c r="A26">
        <v>1992</v>
      </c>
      <c r="B26">
        <v>1992</v>
      </c>
      <c r="C26">
        <v>256894</v>
      </c>
    </row>
    <row r="27" spans="1:3">
      <c r="A27">
        <v>1993</v>
      </c>
      <c r="B27">
        <v>1993</v>
      </c>
      <c r="C27">
        <v>260255</v>
      </c>
    </row>
    <row r="28" spans="1:3">
      <c r="A28">
        <v>1994</v>
      </c>
      <c r="B28">
        <v>1994</v>
      </c>
      <c r="C28">
        <v>263436</v>
      </c>
    </row>
    <row r="29" spans="1:3">
      <c r="A29">
        <v>1995</v>
      </c>
      <c r="B29">
        <v>1995</v>
      </c>
      <c r="C29">
        <v>266557</v>
      </c>
    </row>
    <row r="30" spans="1:3">
      <c r="A30">
        <v>1996</v>
      </c>
      <c r="B30">
        <v>1996</v>
      </c>
      <c r="C30">
        <v>269667</v>
      </c>
    </row>
    <row r="31" spans="1:3">
      <c r="A31">
        <v>1997</v>
      </c>
      <c r="B31">
        <v>1997</v>
      </c>
      <c r="C31">
        <v>272912</v>
      </c>
    </row>
    <row r="32" spans="1:3">
      <c r="A32">
        <v>1998</v>
      </c>
      <c r="B32">
        <v>1998</v>
      </c>
      <c r="C32">
        <v>276115</v>
      </c>
    </row>
    <row r="33" spans="1:3">
      <c r="A33">
        <v>1999</v>
      </c>
      <c r="B33">
        <v>1999</v>
      </c>
      <c r="C33">
        <v>279295</v>
      </c>
    </row>
    <row r="34" spans="1:3">
      <c r="A34">
        <v>2000</v>
      </c>
      <c r="B34">
        <v>2000</v>
      </c>
      <c r="C34">
        <v>282407</v>
      </c>
    </row>
    <row r="35" spans="1:3">
      <c r="A35">
        <v>2001</v>
      </c>
      <c r="B35">
        <v>2001</v>
      </c>
      <c r="C35">
        <v>285339</v>
      </c>
    </row>
    <row r="36" spans="1:3">
      <c r="A36">
        <v>2002</v>
      </c>
      <c r="B36">
        <v>2002</v>
      </c>
      <c r="C36">
        <v>288189</v>
      </c>
    </row>
    <row r="37" spans="1:3">
      <c r="A37">
        <v>2003</v>
      </c>
      <c r="B37">
        <v>2003</v>
      </c>
      <c r="C37">
        <v>290941</v>
      </c>
    </row>
    <row r="38" spans="1:3">
      <c r="A38">
        <v>2004</v>
      </c>
      <c r="B38">
        <v>2004</v>
      </c>
      <c r="C38">
        <v>293609</v>
      </c>
    </row>
    <row r="39" spans="1:3">
      <c r="A39">
        <v>2005</v>
      </c>
      <c r="B39">
        <v>2005</v>
      </c>
      <c r="C39">
        <v>299801</v>
      </c>
    </row>
    <row r="40" spans="1:3">
      <c r="A40">
        <v>2006</v>
      </c>
      <c r="B40">
        <v>2006</v>
      </c>
      <c r="C40">
        <v>299157</v>
      </c>
    </row>
    <row r="41" spans="1:3">
      <c r="A41">
        <v>2007</v>
      </c>
      <c r="B41">
        <v>2007</v>
      </c>
      <c r="C41">
        <v>302405</v>
      </c>
    </row>
    <row r="43" spans="1:3">
      <c r="A43" t="s">
        <v>846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889F6-7DB4-4B05-A751-96ADEF401DC6}">
  <dimension ref="A1:D24"/>
  <sheetViews>
    <sheetView topLeftCell="A13" workbookViewId="0">
      <selection activeCell="D24" sqref="D24"/>
    </sheetView>
  </sheetViews>
  <sheetFormatPr defaultRowHeight="15"/>
  <sheetData>
    <row r="1" spans="1:4">
      <c r="A1" t="s">
        <v>847</v>
      </c>
    </row>
    <row r="2" spans="1:4">
      <c r="A2" t="s">
        <v>848</v>
      </c>
    </row>
    <row r="4" spans="1:4">
      <c r="A4" t="s">
        <v>696</v>
      </c>
      <c r="B4" t="s">
        <v>513</v>
      </c>
      <c r="C4" t="s">
        <v>849</v>
      </c>
      <c r="D4" t="s">
        <v>850</v>
      </c>
    </row>
    <row r="5" spans="1:4">
      <c r="A5">
        <v>1955</v>
      </c>
      <c r="B5">
        <v>114043</v>
      </c>
      <c r="C5">
        <v>8310</v>
      </c>
      <c r="D5">
        <v>182113</v>
      </c>
    </row>
    <row r="6" spans="1:4">
      <c r="A6">
        <v>1956</v>
      </c>
      <c r="B6">
        <v>120410</v>
      </c>
      <c r="C6">
        <v>8529</v>
      </c>
      <c r="D6">
        <v>193749</v>
      </c>
    </row>
    <row r="7" spans="1:4">
      <c r="A7">
        <v>1957</v>
      </c>
      <c r="B7">
        <v>129187</v>
      </c>
      <c r="C7">
        <v>8738</v>
      </c>
      <c r="D7">
        <v>205192</v>
      </c>
    </row>
    <row r="8" spans="1:4">
      <c r="A8">
        <v>1958</v>
      </c>
      <c r="B8">
        <v>134705</v>
      </c>
      <c r="C8">
        <v>8952</v>
      </c>
      <c r="D8">
        <v>215130</v>
      </c>
    </row>
    <row r="9" spans="1:4">
      <c r="A9">
        <v>1959</v>
      </c>
      <c r="B9">
        <v>139960</v>
      </c>
      <c r="C9">
        <v>9171</v>
      </c>
      <c r="D9">
        <v>225021</v>
      </c>
    </row>
    <row r="10" spans="1:4">
      <c r="A10">
        <v>1960</v>
      </c>
      <c r="B10">
        <v>150511</v>
      </c>
      <c r="C10">
        <v>9569</v>
      </c>
      <c r="D10">
        <v>237026</v>
      </c>
    </row>
    <row r="11" spans="1:4">
      <c r="A11">
        <v>1961</v>
      </c>
      <c r="B11">
        <v>157897</v>
      </c>
      <c r="C11">
        <v>9527</v>
      </c>
      <c r="D11">
        <v>248897</v>
      </c>
    </row>
    <row r="12" spans="1:4">
      <c r="A12">
        <v>1962</v>
      </c>
      <c r="B12">
        <v>165286</v>
      </c>
      <c r="C12">
        <v>9662</v>
      </c>
      <c r="D12">
        <v>260661</v>
      </c>
    </row>
    <row r="13" spans="1:4">
      <c r="A13">
        <v>1963</v>
      </c>
      <c r="B13">
        <v>178491</v>
      </c>
      <c r="C13">
        <v>10334</v>
      </c>
      <c r="D13">
        <v>275466</v>
      </c>
    </row>
    <row r="14" spans="1:4">
      <c r="A14">
        <v>1964</v>
      </c>
      <c r="B14">
        <v>199457</v>
      </c>
      <c r="C14">
        <v>10981</v>
      </c>
      <c r="D14">
        <v>295378</v>
      </c>
    </row>
    <row r="15" spans="1:4">
      <c r="A15">
        <v>1965</v>
      </c>
      <c r="B15">
        <v>212323</v>
      </c>
      <c r="C15">
        <v>11746</v>
      </c>
      <c r="D15">
        <v>315715</v>
      </c>
    </row>
    <row r="16" spans="1:4">
      <c r="A16">
        <v>1966</v>
      </c>
      <c r="B16">
        <v>226977</v>
      </c>
      <c r="C16">
        <v>11521</v>
      </c>
      <c r="D16">
        <v>337642</v>
      </c>
    </row>
    <row r="17" spans="1:4">
      <c r="A17">
        <v>1967</v>
      </c>
      <c r="B17">
        <v>241194</v>
      </c>
      <c r="C17">
        <v>11540</v>
      </c>
      <c r="D17">
        <v>363599</v>
      </c>
    </row>
    <row r="18" spans="1:4">
      <c r="A18">
        <v>1968</v>
      </c>
      <c r="B18">
        <v>260881</v>
      </c>
      <c r="C18">
        <v>12066</v>
      </c>
      <c r="D18">
        <v>391847</v>
      </c>
    </row>
    <row r="19" spans="1:4">
      <c r="A19">
        <v>1969</v>
      </c>
      <c r="B19">
        <v>277498</v>
      </c>
      <c r="C19">
        <v>12297</v>
      </c>
      <c r="D19">
        <v>422382</v>
      </c>
    </row>
    <row r="20" spans="1:4">
      <c r="A20">
        <v>1970</v>
      </c>
      <c r="B20">
        <v>296530</v>
      </c>
      <c r="C20">
        <v>12955</v>
      </c>
      <c r="D20">
        <v>455049</v>
      </c>
    </row>
    <row r="21" spans="1:4">
      <c r="A21">
        <v>1971</v>
      </c>
      <c r="B21">
        <v>306712</v>
      </c>
      <c r="C21">
        <v>13338</v>
      </c>
      <c r="D21">
        <v>484677</v>
      </c>
    </row>
    <row r="22" spans="1:4">
      <c r="A22">
        <v>1972</v>
      </c>
      <c r="B22">
        <v>329030</v>
      </c>
      <c r="C22">
        <v>13738</v>
      </c>
      <c r="D22">
        <v>520553</v>
      </c>
    </row>
    <row r="23" spans="1:4">
      <c r="A23">
        <v>1973</v>
      </c>
      <c r="B23">
        <v>354057</v>
      </c>
      <c r="C23">
        <v>15924</v>
      </c>
      <c r="D23">
        <v>561531</v>
      </c>
    </row>
    <row r="24" spans="1:4">
      <c r="A24">
        <v>1974</v>
      </c>
      <c r="B24">
        <v>374977</v>
      </c>
      <c r="C24">
        <v>14154</v>
      </c>
      <c r="D24">
        <v>609825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38DF-B39C-42D0-B967-FBABA284333A}">
  <dimension ref="A1:C15"/>
  <sheetViews>
    <sheetView workbookViewId="0">
      <selection activeCell="C15" sqref="C15"/>
    </sheetView>
  </sheetViews>
  <sheetFormatPr defaultRowHeight="15"/>
  <sheetData>
    <row r="1" spans="1:3">
      <c r="A1" t="s">
        <v>851</v>
      </c>
    </row>
    <row r="3" spans="1:3">
      <c r="A3" t="s">
        <v>852</v>
      </c>
      <c r="B3" t="s">
        <v>10</v>
      </c>
      <c r="C3" t="s">
        <v>853</v>
      </c>
    </row>
    <row r="4" spans="1:3">
      <c r="A4">
        <v>2.2494E-2</v>
      </c>
      <c r="B4">
        <v>0.45225599999999999</v>
      </c>
      <c r="C4">
        <v>0.226128</v>
      </c>
    </row>
    <row r="5" spans="1:3">
      <c r="A5">
        <v>3.2384999999999997E-2</v>
      </c>
      <c r="B5">
        <v>0.47307199999999999</v>
      </c>
      <c r="C5">
        <v>2.3653599999999999</v>
      </c>
    </row>
    <row r="6" spans="1:3">
      <c r="A6">
        <v>3.1580999999999998E-2</v>
      </c>
      <c r="B6">
        <v>0.49732700000000002</v>
      </c>
      <c r="C6">
        <v>4.9732690000000002</v>
      </c>
    </row>
    <row r="7" spans="1:3">
      <c r="A7">
        <v>2.9645999999999999E-2</v>
      </c>
      <c r="B7">
        <v>0.52282499999999998</v>
      </c>
      <c r="C7">
        <v>7.8423809999999996</v>
      </c>
    </row>
    <row r="8" spans="1:3">
      <c r="A8">
        <v>3.0435E-2</v>
      </c>
      <c r="B8">
        <v>0.54963099999999998</v>
      </c>
      <c r="C8">
        <v>10.992620000000001</v>
      </c>
    </row>
    <row r="9" spans="1:3">
      <c r="A9">
        <v>3.44E-2</v>
      </c>
      <c r="B9">
        <v>0.57781099999999996</v>
      </c>
      <c r="C9">
        <v>14.44529</v>
      </c>
    </row>
    <row r="10" spans="1:3">
      <c r="A10">
        <v>4.1091000000000003E-2</v>
      </c>
      <c r="B10">
        <v>0.60743599999999998</v>
      </c>
      <c r="C10">
        <v>18.223089999999999</v>
      </c>
    </row>
    <row r="11" spans="1:3">
      <c r="A11">
        <v>4.9655999999999999E-2</v>
      </c>
      <c r="B11">
        <v>0.63858000000000004</v>
      </c>
      <c r="C11">
        <v>22.35031</v>
      </c>
    </row>
    <row r="12" spans="1:3">
      <c r="A12">
        <v>5.9240000000000001E-2</v>
      </c>
      <c r="B12">
        <v>0.67132099999999995</v>
      </c>
      <c r="C12">
        <v>26.85284</v>
      </c>
    </row>
    <row r="13" spans="1:3">
      <c r="A13">
        <v>6.9185999999999998E-2</v>
      </c>
      <c r="B13">
        <v>0.70574000000000003</v>
      </c>
      <c r="C13">
        <v>31.758320000000001</v>
      </c>
    </row>
    <row r="14" spans="1:3">
      <c r="A14">
        <v>9.4024999999999997E-2</v>
      </c>
      <c r="B14">
        <v>0.77996399999999999</v>
      </c>
      <c r="C14">
        <v>42.898009999999999</v>
      </c>
    </row>
    <row r="15" spans="1:3">
      <c r="A15">
        <v>9.9393999999999996E-2</v>
      </c>
      <c r="B15">
        <v>0.81995300000000004</v>
      </c>
      <c r="C15">
        <v>49.197209999999998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296B-4067-4EA7-9341-CB16738747C6}">
  <dimension ref="A1:D49"/>
  <sheetViews>
    <sheetView topLeftCell="A31" workbookViewId="0">
      <selection activeCell="D49" sqref="D49"/>
    </sheetView>
  </sheetViews>
  <sheetFormatPr defaultRowHeight="15"/>
  <sheetData>
    <row r="1" spans="1:4">
      <c r="A1" t="s">
        <v>854</v>
      </c>
    </row>
    <row r="2" spans="1:4">
      <c r="A2" t="s">
        <v>855</v>
      </c>
    </row>
    <row r="3" spans="1:4">
      <c r="B3" t="s">
        <v>856</v>
      </c>
    </row>
    <row r="4" spans="1:4">
      <c r="B4" t="s">
        <v>857</v>
      </c>
    </row>
    <row r="5" spans="1:4">
      <c r="B5" t="s">
        <v>858</v>
      </c>
    </row>
    <row r="6" spans="1:4">
      <c r="B6" t="s">
        <v>859</v>
      </c>
    </row>
    <row r="7" spans="1:4">
      <c r="B7" t="s">
        <v>860</v>
      </c>
    </row>
    <row r="9" spans="1:4">
      <c r="B9" t="s">
        <v>861</v>
      </c>
      <c r="C9" t="s">
        <v>92</v>
      </c>
      <c r="D9" t="s">
        <v>93</v>
      </c>
    </row>
    <row r="10" spans="1:4">
      <c r="B10">
        <v>1</v>
      </c>
      <c r="C10">
        <v>0</v>
      </c>
      <c r="D10">
        <v>8</v>
      </c>
    </row>
    <row r="11" spans="1:4">
      <c r="B11">
        <v>2</v>
      </c>
      <c r="C11">
        <v>1</v>
      </c>
      <c r="D11">
        <v>16</v>
      </c>
    </row>
    <row r="12" spans="1:4">
      <c r="B12">
        <v>3</v>
      </c>
      <c r="C12">
        <v>1</v>
      </c>
      <c r="D12">
        <v>18</v>
      </c>
    </row>
    <row r="13" spans="1:4">
      <c r="B13">
        <v>4</v>
      </c>
      <c r="C13">
        <v>0</v>
      </c>
      <c r="D13">
        <v>11</v>
      </c>
    </row>
    <row r="14" spans="1:4">
      <c r="B14">
        <v>5</v>
      </c>
      <c r="C14">
        <v>0</v>
      </c>
      <c r="D14">
        <v>12</v>
      </c>
    </row>
    <row r="15" spans="1:4">
      <c r="B15">
        <v>6</v>
      </c>
      <c r="C15">
        <v>1</v>
      </c>
      <c r="D15">
        <v>19</v>
      </c>
    </row>
    <row r="16" spans="1:4">
      <c r="B16">
        <v>7</v>
      </c>
      <c r="C16">
        <v>1</v>
      </c>
      <c r="D16">
        <v>20</v>
      </c>
    </row>
    <row r="17" spans="2:4">
      <c r="B17">
        <v>8</v>
      </c>
      <c r="C17">
        <v>0</v>
      </c>
      <c r="D17">
        <v>13</v>
      </c>
    </row>
    <row r="18" spans="2:4">
      <c r="B18">
        <v>9</v>
      </c>
      <c r="C18">
        <v>0</v>
      </c>
      <c r="D18">
        <v>9</v>
      </c>
    </row>
    <row r="19" spans="2:4">
      <c r="B19">
        <v>10</v>
      </c>
      <c r="C19">
        <v>0</v>
      </c>
      <c r="D19">
        <v>10</v>
      </c>
    </row>
    <row r="20" spans="2:4">
      <c r="B20">
        <v>11</v>
      </c>
      <c r="C20">
        <v>1</v>
      </c>
      <c r="D20">
        <v>17</v>
      </c>
    </row>
    <row r="21" spans="2:4">
      <c r="B21">
        <v>12</v>
      </c>
      <c r="C21">
        <v>1</v>
      </c>
      <c r="D21">
        <v>18</v>
      </c>
    </row>
    <row r="22" spans="2:4">
      <c r="B22">
        <v>13</v>
      </c>
      <c r="C22">
        <v>0</v>
      </c>
      <c r="D22">
        <v>14</v>
      </c>
    </row>
    <row r="23" spans="2:4">
      <c r="B23">
        <v>14</v>
      </c>
      <c r="C23">
        <v>1</v>
      </c>
      <c r="D23">
        <v>20</v>
      </c>
    </row>
    <row r="24" spans="2:4">
      <c r="B24">
        <v>15</v>
      </c>
      <c r="C24">
        <v>0</v>
      </c>
      <c r="D24">
        <v>6</v>
      </c>
    </row>
    <row r="25" spans="2:4">
      <c r="B25">
        <v>16</v>
      </c>
      <c r="C25">
        <v>1</v>
      </c>
      <c r="D25">
        <v>19</v>
      </c>
    </row>
    <row r="26" spans="2:4">
      <c r="B26">
        <v>17</v>
      </c>
      <c r="C26">
        <v>1</v>
      </c>
      <c r="D26">
        <v>16</v>
      </c>
    </row>
    <row r="27" spans="2:4">
      <c r="B27">
        <v>18</v>
      </c>
      <c r="C27">
        <v>0</v>
      </c>
      <c r="D27">
        <v>10</v>
      </c>
    </row>
    <row r="28" spans="2:4">
      <c r="B28">
        <v>19</v>
      </c>
      <c r="C28">
        <v>0</v>
      </c>
      <c r="D28">
        <v>8</v>
      </c>
    </row>
    <row r="29" spans="2:4">
      <c r="B29">
        <v>20</v>
      </c>
      <c r="C29">
        <v>1</v>
      </c>
      <c r="D29">
        <v>18</v>
      </c>
    </row>
    <row r="30" spans="2:4">
      <c r="B30">
        <v>21</v>
      </c>
      <c r="C30">
        <v>1</v>
      </c>
      <c r="D30">
        <v>22</v>
      </c>
    </row>
    <row r="31" spans="2:4">
      <c r="B31">
        <v>22</v>
      </c>
      <c r="C31">
        <v>1</v>
      </c>
      <c r="D31">
        <v>16</v>
      </c>
    </row>
    <row r="32" spans="2:4">
      <c r="B32">
        <v>23</v>
      </c>
      <c r="C32">
        <v>0</v>
      </c>
      <c r="D32">
        <v>12</v>
      </c>
    </row>
    <row r="33" spans="2:4">
      <c r="B33">
        <v>24</v>
      </c>
      <c r="C33">
        <v>0</v>
      </c>
      <c r="D33">
        <v>11</v>
      </c>
    </row>
    <row r="34" spans="2:4">
      <c r="B34">
        <v>25</v>
      </c>
      <c r="C34">
        <v>1</v>
      </c>
      <c r="D34">
        <v>16</v>
      </c>
    </row>
    <row r="35" spans="2:4">
      <c r="B35">
        <v>26</v>
      </c>
      <c r="C35">
        <v>0</v>
      </c>
      <c r="D35">
        <v>11</v>
      </c>
    </row>
    <row r="36" spans="2:4">
      <c r="B36">
        <v>27</v>
      </c>
      <c r="C36">
        <v>1</v>
      </c>
      <c r="D36">
        <v>20</v>
      </c>
    </row>
    <row r="37" spans="2:4">
      <c r="B37">
        <v>28</v>
      </c>
      <c r="C37">
        <v>1</v>
      </c>
      <c r="D37">
        <v>18</v>
      </c>
    </row>
    <row r="38" spans="2:4">
      <c r="B38">
        <v>29</v>
      </c>
      <c r="C38">
        <v>0</v>
      </c>
      <c r="D38">
        <v>11</v>
      </c>
    </row>
    <row r="39" spans="2:4">
      <c r="B39">
        <v>30</v>
      </c>
      <c r="C39">
        <v>0</v>
      </c>
      <c r="D39">
        <v>10</v>
      </c>
    </row>
    <row r="40" spans="2:4">
      <c r="B40">
        <v>31</v>
      </c>
      <c r="C40">
        <v>1</v>
      </c>
      <c r="D40">
        <v>17</v>
      </c>
    </row>
    <row r="41" spans="2:4">
      <c r="B41">
        <v>32</v>
      </c>
      <c r="C41">
        <v>0</v>
      </c>
      <c r="D41">
        <v>13</v>
      </c>
    </row>
    <row r="42" spans="2:4">
      <c r="B42">
        <v>33</v>
      </c>
      <c r="C42">
        <v>1</v>
      </c>
      <c r="D42">
        <v>21</v>
      </c>
    </row>
    <row r="43" spans="2:4">
      <c r="B43">
        <v>34</v>
      </c>
      <c r="C43">
        <v>1</v>
      </c>
      <c r="D43">
        <v>20</v>
      </c>
    </row>
    <row r="44" spans="2:4">
      <c r="B44">
        <v>35</v>
      </c>
      <c r="C44">
        <v>0</v>
      </c>
      <c r="D44">
        <v>11</v>
      </c>
    </row>
    <row r="45" spans="2:4">
      <c r="B45">
        <v>36</v>
      </c>
      <c r="C45">
        <v>0</v>
      </c>
      <c r="D45">
        <v>8</v>
      </c>
    </row>
    <row r="46" spans="2:4">
      <c r="B46">
        <v>37</v>
      </c>
      <c r="C46">
        <v>1</v>
      </c>
      <c r="D46">
        <v>17</v>
      </c>
    </row>
    <row r="47" spans="2:4">
      <c r="B47">
        <v>38</v>
      </c>
      <c r="C47">
        <v>1</v>
      </c>
      <c r="D47">
        <v>16</v>
      </c>
    </row>
    <row r="48" spans="2:4">
      <c r="B48">
        <v>39</v>
      </c>
      <c r="C48">
        <v>0</v>
      </c>
      <c r="D48">
        <v>7</v>
      </c>
    </row>
    <row r="49" spans="2:4">
      <c r="B49">
        <v>40</v>
      </c>
      <c r="C49">
        <v>1</v>
      </c>
      <c r="D49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8B47-ADB8-4AD8-87D1-00D0CCD759B8}">
  <dimension ref="A1:C16"/>
  <sheetViews>
    <sheetView workbookViewId="0">
      <selection activeCell="C4" sqref="C4:C16"/>
    </sheetView>
  </sheetViews>
  <sheetFormatPr defaultRowHeight="15"/>
  <sheetData>
    <row r="1" spans="1:3">
      <c r="A1" s="22" t="s">
        <v>97</v>
      </c>
      <c r="B1" s="22"/>
      <c r="C1" s="22"/>
    </row>
    <row r="2" spans="1:3">
      <c r="A2" s="22" t="s">
        <v>98</v>
      </c>
      <c r="B2" s="22"/>
      <c r="C2" s="22"/>
    </row>
    <row r="3" spans="1:3">
      <c r="A3" t="s">
        <v>110</v>
      </c>
      <c r="B3" t="s">
        <v>111</v>
      </c>
      <c r="C3" t="s">
        <v>112</v>
      </c>
    </row>
    <row r="4" spans="1:3">
      <c r="A4" s="22">
        <v>6</v>
      </c>
      <c r="B4" s="22">
        <v>4.4566999999999997</v>
      </c>
      <c r="C4" s="22">
        <v>3</v>
      </c>
    </row>
    <row r="5" spans="1:3">
      <c r="A5" s="22">
        <v>7</v>
      </c>
      <c r="B5" s="22">
        <v>5.77</v>
      </c>
      <c r="C5" s="22">
        <v>5</v>
      </c>
    </row>
    <row r="6" spans="1:3">
      <c r="A6" s="22">
        <v>8</v>
      </c>
      <c r="B6" s="22">
        <v>5.9786999999999999</v>
      </c>
      <c r="C6" s="22">
        <v>15</v>
      </c>
    </row>
    <row r="7" spans="1:3">
      <c r="A7" s="22">
        <v>9</v>
      </c>
      <c r="B7" s="22">
        <v>7.3316999999999997</v>
      </c>
      <c r="C7" s="22">
        <v>12</v>
      </c>
    </row>
    <row r="8" spans="1:3">
      <c r="A8" s="22">
        <v>10</v>
      </c>
      <c r="B8" s="22">
        <v>7.3182</v>
      </c>
      <c r="C8" s="22">
        <v>17</v>
      </c>
    </row>
    <row r="9" spans="1:3">
      <c r="A9" s="22">
        <v>11</v>
      </c>
      <c r="B9" s="22">
        <v>6.5843999999999996</v>
      </c>
      <c r="C9" s="22">
        <v>27</v>
      </c>
    </row>
    <row r="10" spans="1:3">
      <c r="A10" s="22">
        <v>12</v>
      </c>
      <c r="B10" s="22">
        <v>7.8182</v>
      </c>
      <c r="C10" s="22">
        <v>218</v>
      </c>
    </row>
    <row r="11" spans="1:3">
      <c r="A11" s="22">
        <v>13</v>
      </c>
      <c r="B11" s="22">
        <v>7.8350999999999997</v>
      </c>
      <c r="C11" s="22">
        <v>37</v>
      </c>
    </row>
    <row r="12" spans="1:3">
      <c r="A12" s="22">
        <v>14</v>
      </c>
      <c r="B12" s="22">
        <v>11.0223</v>
      </c>
      <c r="C12" s="22">
        <v>56</v>
      </c>
    </row>
    <row r="13" spans="1:3">
      <c r="A13" s="22">
        <v>15</v>
      </c>
      <c r="B13" s="22">
        <v>10.6738</v>
      </c>
      <c r="C13" s="22">
        <v>13</v>
      </c>
    </row>
    <row r="14" spans="1:3">
      <c r="A14" s="22">
        <v>16</v>
      </c>
      <c r="B14" s="22">
        <v>10.8361</v>
      </c>
      <c r="C14" s="22">
        <v>70</v>
      </c>
    </row>
    <row r="15" spans="1:3">
      <c r="A15" s="22">
        <v>17</v>
      </c>
      <c r="B15" s="22">
        <v>13.615</v>
      </c>
      <c r="C15" s="22">
        <v>24</v>
      </c>
    </row>
    <row r="16" spans="1:3">
      <c r="A16" s="22">
        <v>18</v>
      </c>
      <c r="B16" s="22">
        <v>13.531000000000001</v>
      </c>
      <c r="C16" s="22">
        <v>31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E46F-EF93-40E3-A943-D82F722400A4}">
  <dimension ref="A1:E51"/>
  <sheetViews>
    <sheetView topLeftCell="A31" workbookViewId="0">
      <selection activeCell="E51" sqref="E51"/>
    </sheetView>
  </sheetViews>
  <sheetFormatPr defaultRowHeight="15"/>
  <sheetData>
    <row r="1" spans="1:5">
      <c r="A1" t="s">
        <v>862</v>
      </c>
    </row>
    <row r="2" spans="1:5">
      <c r="A2" t="s">
        <v>863</v>
      </c>
    </row>
    <row r="3" spans="1:5">
      <c r="B3" t="s">
        <v>864</v>
      </c>
    </row>
    <row r="4" spans="1:5">
      <c r="B4" t="s">
        <v>865</v>
      </c>
    </row>
    <row r="5" spans="1:5">
      <c r="B5" t="s">
        <v>866</v>
      </c>
    </row>
    <row r="6" spans="1:5">
      <c r="B6" t="s">
        <v>867</v>
      </c>
    </row>
    <row r="7" spans="1:5">
      <c r="B7" t="s">
        <v>868</v>
      </c>
    </row>
    <row r="8" spans="1:5">
      <c r="B8" t="s">
        <v>869</v>
      </c>
    </row>
    <row r="11" spans="1:5">
      <c r="B11" t="s">
        <v>92</v>
      </c>
      <c r="C11" t="s">
        <v>814</v>
      </c>
      <c r="D11" t="s">
        <v>870</v>
      </c>
      <c r="E11" t="s">
        <v>871</v>
      </c>
    </row>
    <row r="12" spans="1:5">
      <c r="B12">
        <v>0</v>
      </c>
      <c r="C12">
        <v>-0.129</v>
      </c>
      <c r="D12">
        <v>-99999</v>
      </c>
      <c r="E12">
        <v>-99999</v>
      </c>
    </row>
    <row r="13" spans="1:5">
      <c r="B13">
        <v>1</v>
      </c>
      <c r="C13">
        <v>0.68799999999999994</v>
      </c>
      <c r="D13">
        <v>0.21460000000000001</v>
      </c>
      <c r="E13">
        <v>0.46329999999999999</v>
      </c>
    </row>
    <row r="14" spans="1:5">
      <c r="B14">
        <v>1</v>
      </c>
      <c r="C14">
        <v>0.89300000000000002</v>
      </c>
      <c r="D14">
        <v>9.5600000000000004E-2</v>
      </c>
      <c r="E14">
        <v>0.30909999999999999</v>
      </c>
    </row>
    <row r="15" spans="1:5">
      <c r="B15">
        <v>0</v>
      </c>
      <c r="C15">
        <v>0.17799999999999999</v>
      </c>
      <c r="D15">
        <v>0.14630000000000001</v>
      </c>
      <c r="E15">
        <v>0.38250000000000001</v>
      </c>
    </row>
    <row r="16" spans="1:5">
      <c r="B16">
        <v>0</v>
      </c>
      <c r="C16">
        <v>0.28000000000000003</v>
      </c>
      <c r="D16">
        <v>0.2016</v>
      </c>
      <c r="E16">
        <v>0.44900000000000001</v>
      </c>
    </row>
    <row r="17" spans="2:5">
      <c r="B17">
        <v>1</v>
      </c>
      <c r="C17">
        <v>0.995</v>
      </c>
      <c r="D17">
        <v>4.9800000000000001E-3</v>
      </c>
      <c r="E17">
        <v>7.0499999999999993E-2</v>
      </c>
    </row>
    <row r="18" spans="2:5">
      <c r="B18">
        <v>1</v>
      </c>
      <c r="C18">
        <v>1.0980000000000001</v>
      </c>
      <c r="D18">
        <v>-99999</v>
      </c>
      <c r="E18">
        <v>-99999</v>
      </c>
    </row>
    <row r="19" spans="2:5">
      <c r="B19">
        <v>0</v>
      </c>
      <c r="C19">
        <v>3.82</v>
      </c>
      <c r="D19">
        <v>0.2361</v>
      </c>
      <c r="E19">
        <v>0.4859</v>
      </c>
    </row>
    <row r="20" spans="2:5">
      <c r="B20">
        <v>0</v>
      </c>
      <c r="C20">
        <v>-2.6499999999999999E-2</v>
      </c>
      <c r="D20">
        <v>-99999</v>
      </c>
      <c r="E20">
        <v>-99999</v>
      </c>
    </row>
    <row r="21" spans="2:5">
      <c r="B21">
        <v>0</v>
      </c>
      <c r="C21">
        <v>7.5999999999999998E-2</v>
      </c>
      <c r="D21">
        <v>7.0199999999999999E-2</v>
      </c>
      <c r="E21">
        <v>0.26500000000000001</v>
      </c>
    </row>
    <row r="22" spans="2:5">
      <c r="B22">
        <v>1</v>
      </c>
      <c r="C22">
        <v>0.79100000000000004</v>
      </c>
      <c r="D22">
        <v>0.1653</v>
      </c>
      <c r="E22">
        <v>0.40660000000000002</v>
      </c>
    </row>
    <row r="23" spans="2:5">
      <c r="B23">
        <v>1</v>
      </c>
      <c r="C23">
        <v>0.89300000000000002</v>
      </c>
      <c r="D23">
        <v>9.5600000000000004E-2</v>
      </c>
      <c r="E23">
        <v>0.30909999999999999</v>
      </c>
    </row>
    <row r="24" spans="2:5">
      <c r="B24">
        <v>0</v>
      </c>
      <c r="C24">
        <v>0.48399999999999999</v>
      </c>
      <c r="D24">
        <v>0.24970000000000001</v>
      </c>
      <c r="E24">
        <v>0.49969999999999998</v>
      </c>
    </row>
    <row r="25" spans="2:5">
      <c r="B25">
        <v>1</v>
      </c>
      <c r="C25">
        <v>1.097</v>
      </c>
      <c r="D25">
        <v>-99999</v>
      </c>
      <c r="E25">
        <v>-99999</v>
      </c>
    </row>
    <row r="26" spans="2:5">
      <c r="B26">
        <v>0</v>
      </c>
      <c r="C26">
        <v>-0.33300000000000002</v>
      </c>
      <c r="D26">
        <v>-99999</v>
      </c>
      <c r="E26">
        <v>-99999</v>
      </c>
    </row>
    <row r="27" spans="2:5">
      <c r="B27">
        <v>1</v>
      </c>
      <c r="C27">
        <v>0.995</v>
      </c>
      <c r="D27">
        <v>4.9800000000000001E-3</v>
      </c>
      <c r="E27">
        <v>7.0499999999999993E-2</v>
      </c>
    </row>
    <row r="28" spans="2:5">
      <c r="B28">
        <v>1</v>
      </c>
      <c r="C28">
        <v>0.68799999999999994</v>
      </c>
      <c r="D28">
        <v>0.2147</v>
      </c>
      <c r="E28">
        <v>0.46329999999999999</v>
      </c>
    </row>
    <row r="29" spans="2:5">
      <c r="B29">
        <v>0</v>
      </c>
      <c r="C29">
        <v>7.5999999999999998E-2</v>
      </c>
      <c r="D29">
        <v>7.0199999999999999E-2</v>
      </c>
      <c r="E29">
        <v>0.26500000000000001</v>
      </c>
    </row>
    <row r="30" spans="2:5">
      <c r="B30">
        <v>0</v>
      </c>
      <c r="C30">
        <v>-0.129</v>
      </c>
      <c r="D30">
        <v>-99999</v>
      </c>
      <c r="E30">
        <v>-99999</v>
      </c>
    </row>
    <row r="31" spans="2:5">
      <c r="B31">
        <v>1</v>
      </c>
      <c r="C31">
        <v>0.89300000000000002</v>
      </c>
      <c r="D31">
        <v>9.5600000000000004E-2</v>
      </c>
      <c r="E31">
        <v>0.30909999999999999</v>
      </c>
    </row>
    <row r="32" spans="2:5">
      <c r="B32">
        <v>1</v>
      </c>
      <c r="C32">
        <v>1.3009999999999999</v>
      </c>
      <c r="D32">
        <v>-99999</v>
      </c>
      <c r="E32">
        <v>-99999</v>
      </c>
    </row>
    <row r="33" spans="2:5">
      <c r="B33">
        <v>1</v>
      </c>
      <c r="C33">
        <v>0.68799999999999994</v>
      </c>
      <c r="D33">
        <v>0.2147</v>
      </c>
      <c r="E33">
        <v>0.46329999999999999</v>
      </c>
    </row>
    <row r="34" spans="2:5">
      <c r="B34">
        <v>0</v>
      </c>
      <c r="C34">
        <v>0.28000000000000003</v>
      </c>
      <c r="D34">
        <v>0.2016</v>
      </c>
      <c r="E34">
        <v>0.499</v>
      </c>
    </row>
    <row r="35" spans="2:5">
      <c r="B35">
        <v>0</v>
      </c>
      <c r="C35">
        <v>0.17799999999999999</v>
      </c>
      <c r="D35">
        <v>0.14630000000000001</v>
      </c>
      <c r="E35">
        <v>0.38250000000000001</v>
      </c>
    </row>
    <row r="36" spans="2:5">
      <c r="B36">
        <v>1</v>
      </c>
      <c r="C36">
        <v>0.68799999999999994</v>
      </c>
      <c r="D36">
        <v>0.2147</v>
      </c>
      <c r="E36">
        <v>0.46329999999999999</v>
      </c>
    </row>
    <row r="37" spans="2:5">
      <c r="B37">
        <v>0</v>
      </c>
      <c r="C37">
        <v>0.17799999999999999</v>
      </c>
      <c r="D37">
        <v>0.14630000000000001</v>
      </c>
      <c r="E37">
        <v>0.38250000000000001</v>
      </c>
    </row>
    <row r="38" spans="2:5">
      <c r="B38">
        <v>1</v>
      </c>
      <c r="C38">
        <v>1.097</v>
      </c>
      <c r="D38">
        <v>-99999</v>
      </c>
      <c r="E38">
        <v>-99999</v>
      </c>
    </row>
    <row r="39" spans="2:5">
      <c r="B39">
        <v>1</v>
      </c>
      <c r="C39">
        <v>0.89300000000000002</v>
      </c>
      <c r="D39">
        <v>9.5600000000000004E-2</v>
      </c>
      <c r="E39">
        <v>0.30909999999999999</v>
      </c>
    </row>
    <row r="40" spans="2:5">
      <c r="B40">
        <v>0</v>
      </c>
      <c r="C40">
        <v>0.17799999999999999</v>
      </c>
      <c r="D40">
        <v>0.14630000000000001</v>
      </c>
      <c r="E40">
        <v>0.38250000000000001</v>
      </c>
    </row>
    <row r="41" spans="2:5">
      <c r="B41">
        <v>0</v>
      </c>
      <c r="C41">
        <v>7.5999999999999998E-2</v>
      </c>
      <c r="D41">
        <v>7.0199999999999999E-2</v>
      </c>
      <c r="E41">
        <v>0.26500000000000001</v>
      </c>
    </row>
    <row r="42" spans="2:5">
      <c r="B42">
        <v>1</v>
      </c>
      <c r="C42">
        <v>0.79100000000000004</v>
      </c>
      <c r="D42">
        <v>0.1653</v>
      </c>
      <c r="E42">
        <v>0.40550000000000003</v>
      </c>
    </row>
    <row r="43" spans="2:5">
      <c r="B43">
        <v>0</v>
      </c>
      <c r="C43">
        <v>0.38200000000000001</v>
      </c>
      <c r="D43">
        <v>0.2361</v>
      </c>
      <c r="E43">
        <v>0.4859</v>
      </c>
    </row>
    <row r="44" spans="2:5">
      <c r="B44">
        <v>1</v>
      </c>
      <c r="C44">
        <v>1.1990000000000001</v>
      </c>
      <c r="D44">
        <v>-99999</v>
      </c>
      <c r="E44">
        <v>-99999</v>
      </c>
    </row>
    <row r="45" spans="2:5">
      <c r="B45">
        <v>1</v>
      </c>
      <c r="C45">
        <v>1.097</v>
      </c>
      <c r="D45">
        <v>-99999</v>
      </c>
      <c r="E45">
        <v>-99999</v>
      </c>
    </row>
    <row r="46" spans="2:5">
      <c r="B46">
        <v>0</v>
      </c>
      <c r="C46">
        <v>0.17799999999999999</v>
      </c>
      <c r="D46">
        <v>0.14630000000000001</v>
      </c>
      <c r="E46">
        <v>0.38250000000000001</v>
      </c>
    </row>
    <row r="47" spans="2:5">
      <c r="B47">
        <v>0</v>
      </c>
      <c r="C47">
        <v>-0.129</v>
      </c>
      <c r="D47">
        <v>-99999</v>
      </c>
      <c r="E47">
        <v>-99999</v>
      </c>
    </row>
    <row r="48" spans="2:5">
      <c r="B48">
        <v>1</v>
      </c>
      <c r="C48">
        <v>0.79100000000000004</v>
      </c>
      <c r="D48">
        <v>0.1653</v>
      </c>
      <c r="E48">
        <v>0.40660000000000002</v>
      </c>
    </row>
    <row r="49" spans="2:5">
      <c r="B49">
        <v>1</v>
      </c>
      <c r="C49">
        <v>0.68799999999999994</v>
      </c>
      <c r="D49">
        <v>0.2147</v>
      </c>
      <c r="E49">
        <v>0.46329999999999999</v>
      </c>
    </row>
    <row r="50" spans="2:5">
      <c r="B50">
        <v>0</v>
      </c>
      <c r="C50">
        <v>-0.23100000000000001</v>
      </c>
      <c r="D50">
        <v>-99999</v>
      </c>
      <c r="E50">
        <v>-99999</v>
      </c>
    </row>
    <row r="51" spans="2:5">
      <c r="B51">
        <v>1</v>
      </c>
      <c r="C51">
        <v>0.79100000000000004</v>
      </c>
      <c r="D51">
        <v>0.1653</v>
      </c>
      <c r="E51">
        <v>0.40660000000000002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316-36E3-4D24-A719-624374FA6CA7}">
  <dimension ref="A1:C19"/>
  <sheetViews>
    <sheetView workbookViewId="0">
      <selection activeCell="C19" sqref="C19"/>
    </sheetView>
  </sheetViews>
  <sheetFormatPr defaultRowHeight="15"/>
  <sheetData>
    <row r="1" spans="1:3">
      <c r="A1" t="s">
        <v>872</v>
      </c>
    </row>
    <row r="3" spans="1:3">
      <c r="A3" t="s">
        <v>873</v>
      </c>
    </row>
    <row r="4" spans="1:3">
      <c r="A4" t="s">
        <v>874</v>
      </c>
    </row>
    <row r="5" spans="1:3">
      <c r="A5" t="s">
        <v>875</v>
      </c>
    </row>
    <row r="6" spans="1:3">
      <c r="A6" t="s">
        <v>876</v>
      </c>
    </row>
    <row r="9" spans="1:3">
      <c r="A9" t="s">
        <v>93</v>
      </c>
      <c r="B9" t="s">
        <v>644</v>
      </c>
      <c r="C9" t="s">
        <v>877</v>
      </c>
    </row>
    <row r="10" spans="1:3">
      <c r="A10">
        <v>6</v>
      </c>
      <c r="B10">
        <v>40</v>
      </c>
      <c r="C10">
        <v>8</v>
      </c>
    </row>
    <row r="11" spans="1:3">
      <c r="A11">
        <v>8</v>
      </c>
      <c r="B11">
        <v>50</v>
      </c>
      <c r="C11">
        <v>12</v>
      </c>
    </row>
    <row r="12" spans="1:3">
      <c r="A12">
        <v>10</v>
      </c>
      <c r="B12">
        <v>60</v>
      </c>
      <c r="C12">
        <v>18</v>
      </c>
    </row>
    <row r="13" spans="1:3">
      <c r="A13">
        <v>13</v>
      </c>
      <c r="B13">
        <v>80</v>
      </c>
      <c r="C13">
        <v>28</v>
      </c>
    </row>
    <row r="14" spans="1:3">
      <c r="A14">
        <v>15</v>
      </c>
      <c r="B14">
        <v>100</v>
      </c>
      <c r="C14">
        <v>45</v>
      </c>
    </row>
    <row r="15" spans="1:3">
      <c r="A15">
        <v>20</v>
      </c>
      <c r="B15">
        <v>70</v>
      </c>
      <c r="C15">
        <v>36</v>
      </c>
    </row>
    <row r="16" spans="1:3">
      <c r="A16">
        <v>25</v>
      </c>
      <c r="B16">
        <v>65</v>
      </c>
      <c r="C16">
        <v>39</v>
      </c>
    </row>
    <row r="17" spans="1:3">
      <c r="A17">
        <v>30</v>
      </c>
      <c r="B17">
        <v>50</v>
      </c>
      <c r="C17">
        <v>33</v>
      </c>
    </row>
    <row r="18" spans="1:3">
      <c r="A18">
        <v>35</v>
      </c>
      <c r="B18">
        <v>40</v>
      </c>
      <c r="C18">
        <v>30</v>
      </c>
    </row>
    <row r="19" spans="1:3">
      <c r="A19">
        <v>40</v>
      </c>
      <c r="B19">
        <v>25</v>
      </c>
      <c r="C19">
        <v>20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E003-F442-456F-867B-BBCF27905438}">
  <dimension ref="A1:G49"/>
  <sheetViews>
    <sheetView topLeftCell="A40" workbookViewId="0">
      <selection activeCell="G49" sqref="G49"/>
    </sheetView>
  </sheetViews>
  <sheetFormatPr defaultRowHeight="15"/>
  <sheetData>
    <row r="1" spans="1:2">
      <c r="A1" t="s">
        <v>878</v>
      </c>
    </row>
    <row r="3" spans="1:2">
      <c r="A3" t="s">
        <v>879</v>
      </c>
    </row>
    <row r="4" spans="1:2">
      <c r="B4" t="s">
        <v>880</v>
      </c>
    </row>
    <row r="7" spans="1:2">
      <c r="B7" t="s">
        <v>881</v>
      </c>
    </row>
    <row r="8" spans="1:2">
      <c r="B8" t="s">
        <v>882</v>
      </c>
    </row>
    <row r="9" spans="1:2">
      <c r="B9" t="s">
        <v>883</v>
      </c>
    </row>
    <row r="10" spans="1:2">
      <c r="B10" t="s">
        <v>884</v>
      </c>
    </row>
    <row r="11" spans="1:2">
      <c r="B11" t="s">
        <v>885</v>
      </c>
    </row>
    <row r="12" spans="1:2">
      <c r="B12" t="s">
        <v>886</v>
      </c>
    </row>
    <row r="13" spans="1:2">
      <c r="B13" t="s">
        <v>887</v>
      </c>
    </row>
    <row r="14" spans="1:2">
      <c r="B14" t="s">
        <v>888</v>
      </c>
    </row>
    <row r="15" spans="1:2">
      <c r="B15" t="s">
        <v>889</v>
      </c>
    </row>
    <row r="17" spans="2:7">
      <c r="B17" t="s">
        <v>890</v>
      </c>
      <c r="C17" t="s">
        <v>891</v>
      </c>
      <c r="D17" t="s">
        <v>892</v>
      </c>
      <c r="E17" t="s">
        <v>893</v>
      </c>
      <c r="F17" t="s">
        <v>894</v>
      </c>
      <c r="G17" t="s">
        <v>895</v>
      </c>
    </row>
    <row r="18" spans="2:7">
      <c r="B18">
        <v>1</v>
      </c>
      <c r="C18">
        <v>2.66</v>
      </c>
      <c r="D18">
        <v>20</v>
      </c>
      <c r="E18">
        <v>0</v>
      </c>
      <c r="F18">
        <v>0</v>
      </c>
      <c r="G18" t="s">
        <v>524</v>
      </c>
    </row>
    <row r="19" spans="2:7">
      <c r="B19">
        <v>2</v>
      </c>
      <c r="C19">
        <v>2.89</v>
      </c>
      <c r="D19">
        <v>22</v>
      </c>
      <c r="E19">
        <v>0</v>
      </c>
      <c r="F19">
        <v>0</v>
      </c>
      <c r="G19" t="s">
        <v>731</v>
      </c>
    </row>
    <row r="20" spans="2:7">
      <c r="B20">
        <v>3</v>
      </c>
      <c r="C20">
        <v>3.28</v>
      </c>
      <c r="D20">
        <v>24</v>
      </c>
      <c r="E20">
        <v>0</v>
      </c>
      <c r="F20">
        <v>0</v>
      </c>
      <c r="G20" t="s">
        <v>731</v>
      </c>
    </row>
    <row r="21" spans="2:7">
      <c r="B21">
        <v>4</v>
      </c>
      <c r="C21">
        <v>2.92</v>
      </c>
      <c r="D21">
        <v>12</v>
      </c>
      <c r="E21">
        <v>0</v>
      </c>
      <c r="F21">
        <v>0</v>
      </c>
      <c r="G21" t="s">
        <v>731</v>
      </c>
    </row>
    <row r="22" spans="2:7">
      <c r="B22">
        <v>5</v>
      </c>
      <c r="C22">
        <v>4</v>
      </c>
      <c r="D22">
        <v>21</v>
      </c>
      <c r="E22">
        <v>0</v>
      </c>
      <c r="F22">
        <v>1</v>
      </c>
      <c r="G22" t="s">
        <v>730</v>
      </c>
    </row>
    <row r="23" spans="2:7">
      <c r="B23">
        <v>6</v>
      </c>
      <c r="C23">
        <v>2.86</v>
      </c>
      <c r="D23">
        <v>17</v>
      </c>
      <c r="E23">
        <v>0</v>
      </c>
      <c r="F23">
        <v>0</v>
      </c>
      <c r="G23" t="s">
        <v>731</v>
      </c>
    </row>
    <row r="24" spans="2:7">
      <c r="B24">
        <v>7</v>
      </c>
      <c r="C24">
        <v>2.76</v>
      </c>
      <c r="D24">
        <v>17</v>
      </c>
      <c r="E24">
        <v>0</v>
      </c>
      <c r="F24">
        <v>0</v>
      </c>
      <c r="G24" t="s">
        <v>731</v>
      </c>
    </row>
    <row r="25" spans="2:7">
      <c r="B25">
        <v>8</v>
      </c>
      <c r="C25">
        <v>2.87</v>
      </c>
      <c r="D25">
        <v>21</v>
      </c>
      <c r="E25">
        <v>0</v>
      </c>
      <c r="F25">
        <v>0</v>
      </c>
      <c r="G25" t="s">
        <v>731</v>
      </c>
    </row>
    <row r="26" spans="2:7">
      <c r="B26">
        <v>9</v>
      </c>
      <c r="C26">
        <v>3.03</v>
      </c>
      <c r="D26">
        <v>25</v>
      </c>
      <c r="E26">
        <v>0</v>
      </c>
      <c r="F26">
        <v>0</v>
      </c>
      <c r="G26" t="s">
        <v>524</v>
      </c>
    </row>
    <row r="27" spans="2:7">
      <c r="B27">
        <v>10</v>
      </c>
      <c r="C27">
        <v>3.92</v>
      </c>
      <c r="D27">
        <v>29</v>
      </c>
      <c r="E27">
        <v>0</v>
      </c>
      <c r="F27">
        <v>1</v>
      </c>
      <c r="G27" t="s">
        <v>730</v>
      </c>
    </row>
    <row r="28" spans="2:7">
      <c r="B28">
        <v>11</v>
      </c>
      <c r="C28">
        <v>2.63</v>
      </c>
      <c r="D28">
        <v>20</v>
      </c>
      <c r="E28">
        <v>0</v>
      </c>
      <c r="F28">
        <v>0</v>
      </c>
      <c r="G28" t="s">
        <v>524</v>
      </c>
    </row>
    <row r="29" spans="2:7">
      <c r="B29">
        <v>12</v>
      </c>
      <c r="C29">
        <v>3.32</v>
      </c>
      <c r="D29">
        <v>23</v>
      </c>
      <c r="E29">
        <v>0</v>
      </c>
      <c r="F29">
        <v>0</v>
      </c>
      <c r="G29" t="s">
        <v>731</v>
      </c>
    </row>
    <row r="30" spans="2:7">
      <c r="B30">
        <v>13</v>
      </c>
      <c r="C30">
        <v>3.57</v>
      </c>
      <c r="D30">
        <v>23</v>
      </c>
      <c r="E30">
        <v>0</v>
      </c>
      <c r="F30">
        <v>0</v>
      </c>
      <c r="G30" t="s">
        <v>731</v>
      </c>
    </row>
    <row r="31" spans="2:7">
      <c r="B31">
        <v>14</v>
      </c>
      <c r="C31">
        <v>3.26</v>
      </c>
      <c r="D31">
        <v>25</v>
      </c>
      <c r="E31">
        <v>0</v>
      </c>
      <c r="F31">
        <v>1</v>
      </c>
      <c r="G31" t="s">
        <v>730</v>
      </c>
    </row>
    <row r="32" spans="2:7">
      <c r="B32">
        <v>15</v>
      </c>
      <c r="C32">
        <v>3.53</v>
      </c>
      <c r="D32">
        <v>26</v>
      </c>
      <c r="E32">
        <v>0</v>
      </c>
      <c r="F32">
        <v>0</v>
      </c>
      <c r="G32" t="s">
        <v>731</v>
      </c>
    </row>
    <row r="33" spans="2:7">
      <c r="B33">
        <v>16</v>
      </c>
      <c r="C33">
        <v>2.74</v>
      </c>
      <c r="D33">
        <v>19</v>
      </c>
      <c r="E33">
        <v>0</v>
      </c>
      <c r="F33">
        <v>0</v>
      </c>
      <c r="G33" t="s">
        <v>731</v>
      </c>
    </row>
    <row r="34" spans="2:7">
      <c r="B34">
        <v>17</v>
      </c>
      <c r="C34">
        <v>2.75</v>
      </c>
      <c r="D34">
        <v>25</v>
      </c>
      <c r="E34">
        <v>0</v>
      </c>
      <c r="F34">
        <v>0</v>
      </c>
      <c r="G34" t="s">
        <v>524</v>
      </c>
    </row>
    <row r="35" spans="2:7">
      <c r="B35">
        <v>18</v>
      </c>
      <c r="C35">
        <v>2.83</v>
      </c>
      <c r="D35">
        <v>19</v>
      </c>
      <c r="E35">
        <v>0</v>
      </c>
      <c r="F35">
        <v>0</v>
      </c>
      <c r="G35" t="s">
        <v>524</v>
      </c>
    </row>
    <row r="36" spans="2:7">
      <c r="B36">
        <v>19</v>
      </c>
      <c r="C36">
        <v>3.12</v>
      </c>
      <c r="D36">
        <v>23</v>
      </c>
      <c r="E36">
        <v>1</v>
      </c>
      <c r="F36">
        <v>0</v>
      </c>
      <c r="G36" t="s">
        <v>731</v>
      </c>
    </row>
    <row r="37" spans="2:7">
      <c r="B37">
        <v>20</v>
      </c>
      <c r="C37">
        <v>3.16</v>
      </c>
      <c r="D37">
        <v>25</v>
      </c>
      <c r="E37">
        <v>1</v>
      </c>
      <c r="F37">
        <v>1</v>
      </c>
      <c r="G37" t="s">
        <v>730</v>
      </c>
    </row>
    <row r="38" spans="2:7">
      <c r="B38">
        <v>21</v>
      </c>
      <c r="C38">
        <v>2.06</v>
      </c>
      <c r="D38">
        <v>22</v>
      </c>
      <c r="E38">
        <v>1</v>
      </c>
      <c r="F38">
        <v>0</v>
      </c>
      <c r="G38" t="s">
        <v>524</v>
      </c>
    </row>
    <row r="39" spans="2:7">
      <c r="B39">
        <v>22</v>
      </c>
      <c r="C39">
        <v>3.62</v>
      </c>
      <c r="D39">
        <v>28</v>
      </c>
      <c r="E39">
        <v>1</v>
      </c>
      <c r="F39">
        <v>1</v>
      </c>
      <c r="G39" t="s">
        <v>730</v>
      </c>
    </row>
    <row r="40" spans="2:7">
      <c r="B40">
        <v>23</v>
      </c>
      <c r="C40">
        <v>2.89</v>
      </c>
      <c r="D40">
        <v>14</v>
      </c>
      <c r="E40">
        <v>1</v>
      </c>
      <c r="F40">
        <v>0</v>
      </c>
      <c r="G40" t="s">
        <v>524</v>
      </c>
    </row>
    <row r="41" spans="2:7">
      <c r="B41">
        <v>24</v>
      </c>
      <c r="C41">
        <v>3.51</v>
      </c>
      <c r="D41">
        <v>26</v>
      </c>
      <c r="E41">
        <v>1</v>
      </c>
      <c r="F41">
        <v>0</v>
      </c>
      <c r="G41" t="s">
        <v>731</v>
      </c>
    </row>
    <row r="42" spans="2:7">
      <c r="B42">
        <v>25</v>
      </c>
      <c r="C42">
        <v>3.54</v>
      </c>
      <c r="D42">
        <v>24</v>
      </c>
      <c r="E42">
        <v>1</v>
      </c>
      <c r="F42">
        <v>1</v>
      </c>
      <c r="G42" t="s">
        <v>730</v>
      </c>
    </row>
    <row r="43" spans="2:7">
      <c r="B43">
        <v>26</v>
      </c>
      <c r="C43">
        <v>2.83</v>
      </c>
      <c r="D43">
        <v>27</v>
      </c>
      <c r="E43">
        <v>1</v>
      </c>
      <c r="F43">
        <v>1</v>
      </c>
      <c r="G43" t="s">
        <v>730</v>
      </c>
    </row>
    <row r="44" spans="2:7">
      <c r="B44">
        <v>27</v>
      </c>
      <c r="C44">
        <v>3.39</v>
      </c>
      <c r="D44">
        <v>17</v>
      </c>
      <c r="E44">
        <v>1</v>
      </c>
      <c r="F44">
        <v>1</v>
      </c>
      <c r="G44" t="s">
        <v>730</v>
      </c>
    </row>
    <row r="45" spans="2:7">
      <c r="B45">
        <v>28</v>
      </c>
      <c r="C45">
        <v>2.67</v>
      </c>
      <c r="D45">
        <v>24</v>
      </c>
      <c r="E45">
        <v>1</v>
      </c>
      <c r="F45">
        <v>0</v>
      </c>
      <c r="G45" t="s">
        <v>731</v>
      </c>
    </row>
    <row r="46" spans="2:7">
      <c r="B46">
        <v>29</v>
      </c>
      <c r="C46">
        <v>3.65</v>
      </c>
      <c r="D46">
        <v>21</v>
      </c>
      <c r="E46">
        <v>1</v>
      </c>
      <c r="F46">
        <v>1</v>
      </c>
      <c r="G46" t="s">
        <v>730</v>
      </c>
    </row>
    <row r="47" spans="2:7">
      <c r="B47">
        <v>30</v>
      </c>
      <c r="C47">
        <v>4</v>
      </c>
      <c r="D47">
        <v>23</v>
      </c>
      <c r="E47">
        <v>1</v>
      </c>
      <c r="F47">
        <v>1</v>
      </c>
      <c r="G47" t="s">
        <v>730</v>
      </c>
    </row>
    <row r="48" spans="2:7">
      <c r="B48">
        <v>31</v>
      </c>
      <c r="C48">
        <v>3.1</v>
      </c>
      <c r="D48">
        <v>21</v>
      </c>
      <c r="E48">
        <v>1</v>
      </c>
      <c r="F48">
        <v>0</v>
      </c>
      <c r="G48" t="s">
        <v>524</v>
      </c>
    </row>
    <row r="49" spans="2:7">
      <c r="B49">
        <v>32</v>
      </c>
      <c r="C49">
        <v>2.39</v>
      </c>
      <c r="D49">
        <v>19</v>
      </c>
      <c r="E49">
        <v>1</v>
      </c>
      <c r="F49">
        <v>1</v>
      </c>
      <c r="G49" t="s">
        <v>730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F6CF-D612-4614-948F-F26A6E1FCEE2}">
  <dimension ref="A1:B17"/>
  <sheetViews>
    <sheetView workbookViewId="0">
      <selection activeCell="B17" sqref="B17"/>
    </sheetView>
  </sheetViews>
  <sheetFormatPr defaultRowHeight="15"/>
  <cols>
    <col min="1" max="1" width="48.7109375" bestFit="1" customWidth="1"/>
  </cols>
  <sheetData>
    <row r="1" spans="1:2">
      <c r="A1" t="s">
        <v>896</v>
      </c>
      <c r="B1">
        <v>0</v>
      </c>
    </row>
    <row r="2" spans="1:2">
      <c r="A2" t="s">
        <v>897</v>
      </c>
    </row>
    <row r="4" spans="1:2">
      <c r="A4" t="s">
        <v>898</v>
      </c>
    </row>
    <row r="5" spans="1:2">
      <c r="A5" t="s">
        <v>899</v>
      </c>
    </row>
    <row r="7" spans="1:2">
      <c r="A7" t="s">
        <v>645</v>
      </c>
      <c r="B7" t="s">
        <v>643</v>
      </c>
    </row>
    <row r="8" spans="1:2">
      <c r="A8">
        <v>0.2</v>
      </c>
      <c r="B8">
        <v>-0.84160000000000001</v>
      </c>
    </row>
    <row r="9" spans="1:2">
      <c r="A9">
        <v>0.24</v>
      </c>
      <c r="B9">
        <v>-0.70630000000000004</v>
      </c>
    </row>
    <row r="10" spans="1:2">
      <c r="A10">
        <v>0.3</v>
      </c>
      <c r="B10">
        <v>-0.52439999999999998</v>
      </c>
    </row>
    <row r="11" spans="1:2">
      <c r="A11">
        <v>0.35</v>
      </c>
      <c r="B11">
        <v>-0.38529999999999998</v>
      </c>
    </row>
    <row r="12" spans="1:2">
      <c r="A12">
        <v>0.45</v>
      </c>
      <c r="B12">
        <v>-0.12570000000000001</v>
      </c>
    </row>
    <row r="13" spans="1:2">
      <c r="A13">
        <v>0.51</v>
      </c>
      <c r="B13">
        <v>2.5100000000000001E-2</v>
      </c>
    </row>
    <row r="14" spans="1:2">
      <c r="A14">
        <v>0.6</v>
      </c>
      <c r="B14">
        <v>0.25330000000000003</v>
      </c>
    </row>
    <row r="15" spans="1:2">
      <c r="A15">
        <v>0.66</v>
      </c>
      <c r="B15">
        <v>0.41249999999999998</v>
      </c>
    </row>
    <row r="16" spans="1:2">
      <c r="A16">
        <v>0.75</v>
      </c>
      <c r="B16">
        <v>0.67449999999999999</v>
      </c>
    </row>
    <row r="17" spans="1:2">
      <c r="A17">
        <v>0.8</v>
      </c>
      <c r="B17">
        <v>0.84160000000000001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F459B-D1DA-49AB-AF20-7288602558A9}">
  <dimension ref="A1:E9"/>
  <sheetViews>
    <sheetView workbookViewId="0">
      <selection activeCell="E9" sqref="E9"/>
    </sheetView>
  </sheetViews>
  <sheetFormatPr defaultRowHeight="15"/>
  <sheetData>
    <row r="1" spans="1:5">
      <c r="A1" t="s">
        <v>900</v>
      </c>
    </row>
    <row r="3" spans="1:5">
      <c r="A3" t="s">
        <v>901</v>
      </c>
      <c r="C3" t="s">
        <v>122</v>
      </c>
      <c r="D3" t="s">
        <v>902</v>
      </c>
    </row>
    <row r="4" spans="1:5">
      <c r="A4" t="s">
        <v>93</v>
      </c>
      <c r="B4" t="s">
        <v>903</v>
      </c>
      <c r="C4" t="s">
        <v>904</v>
      </c>
      <c r="D4" t="s">
        <v>905</v>
      </c>
      <c r="E4" t="s">
        <v>906</v>
      </c>
    </row>
    <row r="5" spans="1:5">
      <c r="A5">
        <v>2.6</v>
      </c>
      <c r="B5">
        <v>0.41497335000000002</v>
      </c>
      <c r="C5">
        <v>50</v>
      </c>
      <c r="D5">
        <v>6</v>
      </c>
      <c r="E5">
        <v>0.12</v>
      </c>
    </row>
    <row r="6" spans="1:5">
      <c r="A6">
        <v>3.8</v>
      </c>
      <c r="B6">
        <v>0.57978359999999995</v>
      </c>
      <c r="C6">
        <v>48</v>
      </c>
      <c r="D6">
        <v>16</v>
      </c>
      <c r="E6">
        <v>0.33333332999999998</v>
      </c>
    </row>
    <row r="7" spans="1:5">
      <c r="A7">
        <v>5.0999999999999996</v>
      </c>
      <c r="B7">
        <v>0.70757018000000005</v>
      </c>
      <c r="C7">
        <v>46</v>
      </c>
      <c r="D7">
        <v>24</v>
      </c>
      <c r="E7">
        <v>0.52173913000000005</v>
      </c>
    </row>
    <row r="8" spans="1:5">
      <c r="A8">
        <v>7.7</v>
      </c>
      <c r="B8">
        <v>0.88649073</v>
      </c>
      <c r="C8">
        <v>49</v>
      </c>
      <c r="D8">
        <v>42</v>
      </c>
      <c r="E8">
        <v>0.85714285999999995</v>
      </c>
    </row>
    <row r="9" spans="1:5">
      <c r="A9">
        <v>10.199999999999999</v>
      </c>
      <c r="B9">
        <v>1.00860017</v>
      </c>
      <c r="C9">
        <v>50</v>
      </c>
      <c r="D9">
        <v>44</v>
      </c>
      <c r="E9">
        <v>0.88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4F28-C42A-4AED-B125-33FE2D20C4E2}">
  <dimension ref="A1:D24"/>
  <sheetViews>
    <sheetView topLeftCell="A4" workbookViewId="0">
      <selection activeCell="D24" sqref="D24"/>
    </sheetView>
  </sheetViews>
  <sheetFormatPr defaultRowHeight="15"/>
  <sheetData>
    <row r="1" spans="1:4">
      <c r="A1" t="s">
        <v>907</v>
      </c>
    </row>
    <row r="2" spans="1:4">
      <c r="A2" t="s">
        <v>908</v>
      </c>
    </row>
    <row r="4" spans="1:4">
      <c r="A4" t="s">
        <v>909</v>
      </c>
    </row>
    <row r="5" spans="1:4">
      <c r="A5" t="s">
        <v>910</v>
      </c>
    </row>
    <row r="6" spans="1:4">
      <c r="A6" t="s">
        <v>911</v>
      </c>
    </row>
    <row r="7" spans="1:4">
      <c r="A7" t="s">
        <v>912</v>
      </c>
    </row>
    <row r="8" spans="1:4">
      <c r="B8" t="s">
        <v>913</v>
      </c>
      <c r="C8" t="s">
        <v>914</v>
      </c>
    </row>
    <row r="9" spans="1:4">
      <c r="C9" t="s">
        <v>915</v>
      </c>
    </row>
    <row r="11" spans="1:4">
      <c r="A11" t="s">
        <v>916</v>
      </c>
      <c r="B11" t="s">
        <v>917</v>
      </c>
      <c r="C11" t="s">
        <v>636</v>
      </c>
      <c r="D11" t="s">
        <v>918</v>
      </c>
    </row>
    <row r="12" spans="1:4">
      <c r="A12">
        <v>1</v>
      </c>
      <c r="B12">
        <v>760</v>
      </c>
      <c r="C12">
        <v>550</v>
      </c>
      <c r="D12">
        <v>1</v>
      </c>
    </row>
    <row r="13" spans="1:4">
      <c r="A13">
        <v>2</v>
      </c>
      <c r="B13">
        <v>600</v>
      </c>
      <c r="C13">
        <v>350</v>
      </c>
      <c r="D13">
        <v>0</v>
      </c>
    </row>
    <row r="14" spans="1:4">
      <c r="A14">
        <v>3</v>
      </c>
      <c r="B14">
        <v>720</v>
      </c>
      <c r="C14">
        <v>320</v>
      </c>
      <c r="D14">
        <v>0</v>
      </c>
    </row>
    <row r="15" spans="1:4">
      <c r="A15">
        <v>4</v>
      </c>
      <c r="B15">
        <v>710</v>
      </c>
      <c r="C15">
        <v>630</v>
      </c>
      <c r="D15">
        <v>1</v>
      </c>
    </row>
    <row r="16" spans="1:4">
      <c r="A16">
        <v>5</v>
      </c>
      <c r="B16">
        <v>530</v>
      </c>
      <c r="C16">
        <v>430</v>
      </c>
      <c r="D16">
        <v>0</v>
      </c>
    </row>
    <row r="17" spans="1:4">
      <c r="A17">
        <v>6</v>
      </c>
      <c r="B17">
        <v>650</v>
      </c>
      <c r="C17">
        <v>570</v>
      </c>
      <c r="D17">
        <v>0</v>
      </c>
    </row>
    <row r="18" spans="1:4">
      <c r="A18">
        <v>7</v>
      </c>
      <c r="B18">
        <v>800</v>
      </c>
      <c r="C18">
        <v>500</v>
      </c>
      <c r="D18">
        <v>1</v>
      </c>
    </row>
    <row r="19" spans="1:4">
      <c r="A19">
        <v>8</v>
      </c>
      <c r="B19">
        <v>650</v>
      </c>
      <c r="C19">
        <v>680</v>
      </c>
      <c r="D19">
        <v>1</v>
      </c>
    </row>
    <row r="20" spans="1:4">
      <c r="A20">
        <v>9</v>
      </c>
      <c r="B20">
        <v>520</v>
      </c>
      <c r="C20">
        <v>660</v>
      </c>
      <c r="D20">
        <v>0</v>
      </c>
    </row>
    <row r="21" spans="1:4">
      <c r="A21">
        <v>10</v>
      </c>
      <c r="B21">
        <v>800</v>
      </c>
      <c r="C21">
        <v>250</v>
      </c>
      <c r="D21">
        <v>0</v>
      </c>
    </row>
    <row r="22" spans="1:4">
      <c r="A22">
        <v>11</v>
      </c>
      <c r="B22">
        <v>670</v>
      </c>
      <c r="C22">
        <v>480</v>
      </c>
      <c r="D22">
        <v>0</v>
      </c>
    </row>
    <row r="23" spans="1:4">
      <c r="A23">
        <v>12</v>
      </c>
      <c r="B23">
        <v>670</v>
      </c>
      <c r="C23">
        <v>520</v>
      </c>
      <c r="D23">
        <v>1</v>
      </c>
    </row>
    <row r="24" spans="1:4">
      <c r="A24">
        <v>13</v>
      </c>
      <c r="B24">
        <v>780</v>
      </c>
      <c r="C24">
        <v>710</v>
      </c>
      <c r="D24">
        <v>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393E1-C429-4F95-B4A9-48E87C43A982}">
  <dimension ref="A1:C44"/>
  <sheetViews>
    <sheetView topLeftCell="A31" workbookViewId="0">
      <selection activeCell="C44" sqref="C44"/>
    </sheetView>
  </sheetViews>
  <sheetFormatPr defaultRowHeight="15"/>
  <sheetData>
    <row r="1" spans="1:3">
      <c r="A1" t="s">
        <v>919</v>
      </c>
    </row>
    <row r="2" spans="1:3">
      <c r="A2" t="s">
        <v>920</v>
      </c>
    </row>
    <row r="3" spans="1:3">
      <c r="B3" t="s">
        <v>921</v>
      </c>
    </row>
    <row r="5" spans="1:3">
      <c r="A5" t="s">
        <v>922</v>
      </c>
    </row>
    <row r="6" spans="1:3">
      <c r="A6" t="s">
        <v>923</v>
      </c>
    </row>
    <row r="7" spans="1:3">
      <c r="A7" t="s">
        <v>924</v>
      </c>
    </row>
    <row r="9" spans="1:3">
      <c r="A9" t="s">
        <v>92</v>
      </c>
      <c r="B9" t="s">
        <v>833</v>
      </c>
      <c r="C9" t="s">
        <v>93</v>
      </c>
    </row>
    <row r="10" spans="1:3">
      <c r="A10">
        <v>-0.37859999999999999</v>
      </c>
      <c r="B10">
        <v>0</v>
      </c>
      <c r="C10">
        <v>0.28999999999999998</v>
      </c>
    </row>
    <row r="11" spans="1:3">
      <c r="A11">
        <v>1.1974</v>
      </c>
      <c r="B11">
        <v>1</v>
      </c>
      <c r="C11">
        <v>0.59</v>
      </c>
    </row>
    <row r="12" spans="1:3">
      <c r="A12">
        <v>-0.46479999999999999</v>
      </c>
      <c r="B12">
        <v>0</v>
      </c>
      <c r="C12">
        <v>0.14000000000000001</v>
      </c>
    </row>
    <row r="13" spans="1:3">
      <c r="A13">
        <v>1.1399999999999999</v>
      </c>
      <c r="B13">
        <v>1</v>
      </c>
      <c r="C13">
        <v>0.81</v>
      </c>
    </row>
    <row r="14" spans="1:3">
      <c r="A14">
        <v>0.31879999999999997</v>
      </c>
      <c r="B14">
        <v>1</v>
      </c>
      <c r="C14">
        <v>0.35</v>
      </c>
    </row>
    <row r="15" spans="1:3">
      <c r="A15">
        <v>2.2012999999999998</v>
      </c>
      <c r="B15">
        <v>1</v>
      </c>
      <c r="C15">
        <v>1</v>
      </c>
    </row>
    <row r="16" spans="1:3">
      <c r="A16">
        <v>2.4472999999999998</v>
      </c>
      <c r="B16">
        <v>1</v>
      </c>
      <c r="C16">
        <v>0.8</v>
      </c>
    </row>
    <row r="17" spans="1:3">
      <c r="A17">
        <v>0.1153</v>
      </c>
      <c r="B17">
        <v>1</v>
      </c>
      <c r="C17">
        <v>0.4</v>
      </c>
    </row>
    <row r="18" spans="1:3">
      <c r="A18">
        <v>0.41099999999999998</v>
      </c>
      <c r="B18">
        <v>1</v>
      </c>
      <c r="C18">
        <v>7.0000000000000007E-2</v>
      </c>
    </row>
    <row r="19" spans="1:3">
      <c r="A19">
        <v>2.6949999999999998</v>
      </c>
      <c r="B19">
        <v>1</v>
      </c>
      <c r="C19">
        <v>0.87</v>
      </c>
    </row>
    <row r="20" spans="1:3">
      <c r="A20">
        <v>2.2008999999999999</v>
      </c>
      <c r="B20">
        <v>1</v>
      </c>
      <c r="C20">
        <v>0.98</v>
      </c>
    </row>
    <row r="21" spans="1:3">
      <c r="A21">
        <v>0.63890000000000002</v>
      </c>
      <c r="B21">
        <v>1</v>
      </c>
      <c r="C21">
        <v>0.28000000000000003</v>
      </c>
    </row>
    <row r="22" spans="1:3">
      <c r="A22">
        <v>4.3192000000000004</v>
      </c>
      <c r="B22">
        <v>1</v>
      </c>
      <c r="C22">
        <v>0.99</v>
      </c>
    </row>
    <row r="23" spans="1:3">
      <c r="A23">
        <v>-1.9905999999999999</v>
      </c>
      <c r="B23">
        <v>0</v>
      </c>
      <c r="C23">
        <v>0.04</v>
      </c>
    </row>
    <row r="24" spans="1:3">
      <c r="A24">
        <v>-0.90210000000000001</v>
      </c>
      <c r="B24">
        <v>0</v>
      </c>
      <c r="C24">
        <v>0.37</v>
      </c>
    </row>
    <row r="25" spans="1:3">
      <c r="A25">
        <v>0.94330000000000003</v>
      </c>
      <c r="B25">
        <v>1</v>
      </c>
      <c r="C25">
        <v>0.94</v>
      </c>
    </row>
    <row r="26" spans="1:3">
      <c r="A26">
        <v>-3.2235</v>
      </c>
      <c r="B26">
        <v>0</v>
      </c>
      <c r="C26">
        <v>0.04</v>
      </c>
    </row>
    <row r="27" spans="1:3">
      <c r="A27">
        <v>0.16900000000000001</v>
      </c>
      <c r="B27">
        <v>1</v>
      </c>
      <c r="C27">
        <v>7.0000000000000007E-2</v>
      </c>
    </row>
    <row r="28" spans="1:3">
      <c r="A28">
        <v>-0.37530000000000002</v>
      </c>
      <c r="B28">
        <v>0</v>
      </c>
      <c r="C28">
        <v>0.56000000000000005</v>
      </c>
    </row>
    <row r="29" spans="1:3">
      <c r="A29">
        <v>1.9701</v>
      </c>
      <c r="B29">
        <v>1</v>
      </c>
      <c r="C29">
        <v>0.61</v>
      </c>
    </row>
    <row r="30" spans="1:3">
      <c r="A30">
        <v>-0.40539999999999998</v>
      </c>
      <c r="B30">
        <v>0</v>
      </c>
      <c r="C30">
        <v>0.17</v>
      </c>
    </row>
    <row r="31" spans="1:3">
      <c r="A31">
        <v>2.4416000000000002</v>
      </c>
      <c r="B31">
        <v>1</v>
      </c>
      <c r="C31">
        <v>0.89</v>
      </c>
    </row>
    <row r="32" spans="1:3">
      <c r="A32">
        <v>0.81499999999999995</v>
      </c>
      <c r="B32">
        <v>1</v>
      </c>
      <c r="C32">
        <v>0.65</v>
      </c>
    </row>
    <row r="33" spans="1:3">
      <c r="A33">
        <v>-0.12230000000000001</v>
      </c>
      <c r="B33">
        <v>0</v>
      </c>
      <c r="C33">
        <v>0.23</v>
      </c>
    </row>
    <row r="34" spans="1:3">
      <c r="A34">
        <v>0.14280000000000001</v>
      </c>
      <c r="B34">
        <v>1</v>
      </c>
      <c r="C34">
        <v>0.26</v>
      </c>
    </row>
    <row r="35" spans="1:3">
      <c r="A35">
        <v>-0.66810000000000003</v>
      </c>
      <c r="B35">
        <v>0</v>
      </c>
      <c r="C35">
        <v>0.64</v>
      </c>
    </row>
    <row r="36" spans="1:3">
      <c r="A36">
        <v>1.8286</v>
      </c>
      <c r="B36">
        <v>1</v>
      </c>
      <c r="C36">
        <v>0.67</v>
      </c>
    </row>
    <row r="37" spans="1:3">
      <c r="A37">
        <v>-0.64590000000000003</v>
      </c>
      <c r="B37">
        <v>0</v>
      </c>
      <c r="C37">
        <v>0.26</v>
      </c>
    </row>
    <row r="38" spans="1:3">
      <c r="A38">
        <v>2.9784000000000002</v>
      </c>
      <c r="B38">
        <v>1</v>
      </c>
      <c r="C38">
        <v>0.63</v>
      </c>
    </row>
    <row r="39" spans="1:3">
      <c r="A39">
        <v>-2.3325999999999998</v>
      </c>
      <c r="B39">
        <v>0</v>
      </c>
      <c r="C39">
        <v>0.09</v>
      </c>
    </row>
    <row r="40" spans="1:3">
      <c r="A40">
        <v>0.80559999999999998</v>
      </c>
      <c r="B40">
        <v>1</v>
      </c>
      <c r="C40">
        <v>0.54</v>
      </c>
    </row>
    <row r="41" spans="1:3">
      <c r="A41">
        <v>-0.89829999999999999</v>
      </c>
      <c r="B41">
        <v>0</v>
      </c>
      <c r="C41">
        <v>0.74</v>
      </c>
    </row>
    <row r="42" spans="1:3">
      <c r="A42">
        <v>-0.23549999999999999</v>
      </c>
      <c r="B42">
        <v>0</v>
      </c>
      <c r="C42">
        <v>0.17</v>
      </c>
    </row>
    <row r="43" spans="1:3">
      <c r="A43">
        <v>1.1429</v>
      </c>
      <c r="B43">
        <v>1</v>
      </c>
      <c r="C43">
        <v>0.56999999999999995</v>
      </c>
    </row>
    <row r="44" spans="1:3">
      <c r="A44">
        <v>-0.29649999999999999</v>
      </c>
      <c r="B44">
        <v>0</v>
      </c>
      <c r="C44">
        <v>0.18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6AFCE-A37C-4A94-9D25-32F8F5A78264}">
  <dimension ref="A1:O2003"/>
  <sheetViews>
    <sheetView topLeftCell="A1993" workbookViewId="0">
      <selection activeCell="O2003" sqref="O2003"/>
    </sheetView>
  </sheetViews>
  <sheetFormatPr defaultRowHeight="15"/>
  <sheetData>
    <row r="1" spans="1:15">
      <c r="A1" t="s">
        <v>925</v>
      </c>
    </row>
    <row r="3" spans="1:15">
      <c r="A3" t="s">
        <v>926</v>
      </c>
      <c r="B3" t="s">
        <v>927</v>
      </c>
      <c r="C3" t="s">
        <v>928</v>
      </c>
      <c r="D3" t="s">
        <v>929</v>
      </c>
      <c r="E3" t="s">
        <v>930</v>
      </c>
      <c r="F3" t="s">
        <v>437</v>
      </c>
      <c r="G3" t="s">
        <v>931</v>
      </c>
      <c r="H3" t="s">
        <v>932</v>
      </c>
      <c r="I3" t="s">
        <v>933</v>
      </c>
      <c r="J3" t="s">
        <v>934</v>
      </c>
      <c r="K3" t="s">
        <v>935</v>
      </c>
      <c r="L3" t="s">
        <v>936</v>
      </c>
      <c r="M3" t="s">
        <v>937</v>
      </c>
      <c r="N3" t="s">
        <v>938</v>
      </c>
      <c r="O3" t="s">
        <v>939</v>
      </c>
    </row>
    <row r="4" spans="1:15">
      <c r="A4">
        <v>-0.43620514399999999</v>
      </c>
      <c r="B4">
        <v>-9.6918161000000003E-2</v>
      </c>
      <c r="C4">
        <v>-0.21810257199999999</v>
      </c>
      <c r="D4">
        <v>-0.375727176</v>
      </c>
      <c r="E4">
        <v>1</v>
      </c>
      <c r="F4">
        <v>22</v>
      </c>
      <c r="G4">
        <v>10</v>
      </c>
      <c r="H4">
        <v>1</v>
      </c>
      <c r="I4">
        <v>0</v>
      </c>
      <c r="J4">
        <v>16.79127312</v>
      </c>
      <c r="K4">
        <v>12.782769200000001</v>
      </c>
      <c r="N4">
        <v>0</v>
      </c>
      <c r="O4">
        <v>0</v>
      </c>
    </row>
    <row r="5" spans="1:15">
      <c r="A5">
        <v>0.35214073400000001</v>
      </c>
      <c r="B5">
        <v>0.300476309</v>
      </c>
      <c r="C5">
        <v>0.17607036700000001</v>
      </c>
      <c r="D5">
        <v>0.46123438300000003</v>
      </c>
      <c r="E5">
        <v>2</v>
      </c>
      <c r="F5">
        <v>36</v>
      </c>
      <c r="G5">
        <v>10</v>
      </c>
      <c r="H5">
        <v>1</v>
      </c>
      <c r="I5">
        <v>0</v>
      </c>
      <c r="J5">
        <v>32.434814449999998</v>
      </c>
      <c r="K5">
        <v>20.312845230000001</v>
      </c>
      <c r="L5">
        <v>20.312845230000001</v>
      </c>
      <c r="M5">
        <v>3.0112533570000002</v>
      </c>
      <c r="N5">
        <v>1</v>
      </c>
      <c r="O5">
        <v>3.0112533570000002</v>
      </c>
    </row>
    <row r="6" spans="1:15">
      <c r="A6">
        <v>1.077246551</v>
      </c>
      <c r="B6">
        <v>-1.595962621</v>
      </c>
      <c r="C6">
        <v>0.53862327499999996</v>
      </c>
      <c r="D6">
        <v>-0.37624396799999998</v>
      </c>
      <c r="E6">
        <v>3</v>
      </c>
      <c r="F6">
        <v>28</v>
      </c>
      <c r="G6">
        <v>10</v>
      </c>
      <c r="H6">
        <v>1</v>
      </c>
      <c r="I6">
        <v>0</v>
      </c>
      <c r="J6">
        <v>19.185071950000001</v>
      </c>
      <c r="K6">
        <v>23.06347847</v>
      </c>
      <c r="N6">
        <v>0</v>
      </c>
      <c r="O6">
        <v>0</v>
      </c>
    </row>
    <row r="7" spans="1:15">
      <c r="A7">
        <v>1.021283344</v>
      </c>
      <c r="B7">
        <v>-1.710497905</v>
      </c>
      <c r="C7">
        <v>0.51064167199999999</v>
      </c>
      <c r="D7">
        <v>-0.49699912299999999</v>
      </c>
      <c r="E7">
        <v>4</v>
      </c>
      <c r="F7">
        <v>37</v>
      </c>
      <c r="G7">
        <v>10</v>
      </c>
      <c r="H7">
        <v>1</v>
      </c>
      <c r="I7">
        <v>0</v>
      </c>
      <c r="J7">
        <v>21.33600998</v>
      </c>
      <c r="K7">
        <v>24.527700419999999</v>
      </c>
      <c r="N7">
        <v>0</v>
      </c>
      <c r="O7">
        <v>0</v>
      </c>
    </row>
    <row r="8" spans="1:15">
      <c r="A8">
        <v>-0.44295991200000001</v>
      </c>
      <c r="B8">
        <v>0.30833972599999998</v>
      </c>
      <c r="C8">
        <v>-0.22147995600000001</v>
      </c>
      <c r="D8">
        <v>-9.2510828000000003E-2</v>
      </c>
      <c r="E8">
        <v>5</v>
      </c>
      <c r="F8">
        <v>39</v>
      </c>
      <c r="G8">
        <v>10</v>
      </c>
      <c r="H8">
        <v>1</v>
      </c>
      <c r="I8">
        <v>1</v>
      </c>
      <c r="J8">
        <v>31.989870069999998</v>
      </c>
      <c r="K8">
        <v>16.142240520000001</v>
      </c>
      <c r="L8">
        <v>16.142240520000001</v>
      </c>
      <c r="M8">
        <v>2.7814395429999998</v>
      </c>
      <c r="N8">
        <v>1</v>
      </c>
      <c r="O8">
        <v>2.7814395429999998</v>
      </c>
    </row>
    <row r="9" spans="1:15">
      <c r="A9">
        <v>-0.44033422300000002</v>
      </c>
      <c r="B9">
        <v>0.61322883100000003</v>
      </c>
      <c r="C9">
        <v>-0.220167112</v>
      </c>
      <c r="D9">
        <v>0.12598437900000001</v>
      </c>
      <c r="E9">
        <v>6</v>
      </c>
      <c r="F9">
        <v>33</v>
      </c>
      <c r="G9">
        <v>10</v>
      </c>
      <c r="H9">
        <v>1</v>
      </c>
      <c r="I9">
        <v>2</v>
      </c>
      <c r="J9">
        <v>37.211811070000003</v>
      </c>
      <c r="K9">
        <v>14.95799446</v>
      </c>
      <c r="L9">
        <v>14.95799446</v>
      </c>
      <c r="M9">
        <v>2.7052459720000002</v>
      </c>
      <c r="N9">
        <v>1</v>
      </c>
      <c r="O9">
        <v>2.7052459720000002</v>
      </c>
    </row>
    <row r="10" spans="1:15">
      <c r="A10">
        <v>-0.65943456700000003</v>
      </c>
      <c r="B10">
        <v>-0.339425423</v>
      </c>
      <c r="C10">
        <v>-0.329717284</v>
      </c>
      <c r="D10">
        <v>-0.70508413000000003</v>
      </c>
      <c r="E10">
        <v>7</v>
      </c>
      <c r="F10">
        <v>57</v>
      </c>
      <c r="G10">
        <v>10</v>
      </c>
      <c r="H10">
        <v>1</v>
      </c>
      <c r="I10">
        <v>1</v>
      </c>
      <c r="J10">
        <v>31.83899117</v>
      </c>
      <c r="K10">
        <v>18.443391800000001</v>
      </c>
      <c r="L10">
        <v>18.443391800000001</v>
      </c>
      <c r="M10">
        <v>2.9147062300000002</v>
      </c>
      <c r="N10">
        <v>1</v>
      </c>
      <c r="O10">
        <v>2.9147062300000002</v>
      </c>
    </row>
    <row r="11" spans="1:15">
      <c r="A11">
        <v>-1.404323776</v>
      </c>
      <c r="B11">
        <v>0.78140629800000005</v>
      </c>
      <c r="C11">
        <v>-0.70216188800000001</v>
      </c>
      <c r="D11">
        <v>-0.432653862</v>
      </c>
      <c r="E11">
        <v>8</v>
      </c>
      <c r="F11">
        <v>45</v>
      </c>
      <c r="G11">
        <v>16</v>
      </c>
      <c r="H11">
        <v>1</v>
      </c>
      <c r="I11">
        <v>0</v>
      </c>
      <c r="J11">
        <v>29.808153149999999</v>
      </c>
      <c r="K11">
        <v>17.574056630000001</v>
      </c>
      <c r="L11">
        <v>17.574056630000001</v>
      </c>
      <c r="M11">
        <v>2.8664238449999999</v>
      </c>
      <c r="N11">
        <v>1</v>
      </c>
      <c r="O11">
        <v>2.8664238449999999</v>
      </c>
    </row>
    <row r="12" spans="1:15">
      <c r="A12">
        <v>-2.0057762370000001</v>
      </c>
      <c r="B12">
        <v>-0.212088681</v>
      </c>
      <c r="C12">
        <v>-1.0028881190000001</v>
      </c>
      <c r="D12">
        <v>-1.561717826</v>
      </c>
      <c r="E12">
        <v>9</v>
      </c>
      <c r="F12">
        <v>39</v>
      </c>
      <c r="G12">
        <v>12</v>
      </c>
      <c r="H12">
        <v>1</v>
      </c>
      <c r="I12">
        <v>0</v>
      </c>
      <c r="J12">
        <v>10.85938644</v>
      </c>
      <c r="K12">
        <v>8.7653427120000007</v>
      </c>
      <c r="N12">
        <v>0</v>
      </c>
      <c r="O12">
        <v>0</v>
      </c>
    </row>
    <row r="13" spans="1:15">
      <c r="A13">
        <v>0.41385347300000003</v>
      </c>
      <c r="B13">
        <v>-8.2083626000000007E-2</v>
      </c>
      <c r="C13">
        <v>0.206926736</v>
      </c>
      <c r="D13">
        <v>0.23280825999999999</v>
      </c>
      <c r="E13">
        <v>0</v>
      </c>
      <c r="F13">
        <v>25</v>
      </c>
      <c r="G13">
        <v>10</v>
      </c>
      <c r="H13">
        <v>0</v>
      </c>
      <c r="I13">
        <v>3</v>
      </c>
      <c r="J13">
        <v>35.293697360000003</v>
      </c>
      <c r="K13">
        <v>18.48311996</v>
      </c>
      <c r="L13">
        <v>18.48311996</v>
      </c>
      <c r="M13">
        <v>2.916857958</v>
      </c>
      <c r="N13">
        <v>1</v>
      </c>
      <c r="O13">
        <v>2.916857958</v>
      </c>
    </row>
    <row r="14" spans="1:15">
      <c r="A14">
        <v>1.200745851</v>
      </c>
      <c r="B14">
        <v>1.769789195</v>
      </c>
      <c r="C14">
        <v>0.60037292600000003</v>
      </c>
      <c r="D14">
        <v>2.1022705560000001</v>
      </c>
      <c r="E14">
        <v>1</v>
      </c>
      <c r="F14">
        <v>26</v>
      </c>
      <c r="G14">
        <v>16</v>
      </c>
      <c r="H14">
        <v>0</v>
      </c>
      <c r="I14">
        <v>0</v>
      </c>
      <c r="J14">
        <v>47.62724686</v>
      </c>
      <c r="K14">
        <v>29.404474260000001</v>
      </c>
      <c r="L14">
        <v>29.404474260000001</v>
      </c>
      <c r="M14">
        <v>3.3811469079999998</v>
      </c>
      <c r="N14">
        <v>1</v>
      </c>
      <c r="O14">
        <v>3.3811469079999998</v>
      </c>
    </row>
    <row r="15" spans="1:15">
      <c r="A15">
        <v>0.13983229699999999</v>
      </c>
      <c r="B15">
        <v>-0.42076313500000001</v>
      </c>
      <c r="C15">
        <v>6.9916147999999997E-2</v>
      </c>
      <c r="D15">
        <v>-0.200617458</v>
      </c>
      <c r="E15">
        <v>2</v>
      </c>
      <c r="F15">
        <v>28</v>
      </c>
      <c r="G15">
        <v>10</v>
      </c>
      <c r="H15">
        <v>1</v>
      </c>
      <c r="I15">
        <v>1</v>
      </c>
      <c r="J15">
        <v>26.292591089999998</v>
      </c>
      <c r="K15">
        <v>17.438993450000002</v>
      </c>
      <c r="N15">
        <v>0</v>
      </c>
      <c r="O15">
        <v>0</v>
      </c>
    </row>
    <row r="16" spans="1:15">
      <c r="A16">
        <v>-1.361723137</v>
      </c>
      <c r="B16">
        <v>0.15098598799999999</v>
      </c>
      <c r="C16">
        <v>-0.68086156799999997</v>
      </c>
      <c r="D16">
        <v>-0.85064948100000004</v>
      </c>
      <c r="E16">
        <v>3</v>
      </c>
      <c r="F16">
        <v>52</v>
      </c>
      <c r="G16">
        <v>10</v>
      </c>
      <c r="H16">
        <v>1</v>
      </c>
      <c r="I16">
        <v>1</v>
      </c>
      <c r="J16">
        <v>28.092206950000001</v>
      </c>
      <c r="K16">
        <v>13.229660989999999</v>
      </c>
      <c r="N16">
        <v>0</v>
      </c>
      <c r="O16">
        <v>0</v>
      </c>
    </row>
    <row r="17" spans="1:15">
      <c r="A17">
        <v>3.9125473000000001E-2</v>
      </c>
      <c r="B17">
        <v>0.22537100600000001</v>
      </c>
      <c r="C17">
        <v>1.9562737E-2</v>
      </c>
      <c r="D17">
        <v>0.187667893</v>
      </c>
      <c r="E17">
        <v>4</v>
      </c>
      <c r="F17">
        <v>38</v>
      </c>
      <c r="G17">
        <v>16</v>
      </c>
      <c r="H17">
        <v>0</v>
      </c>
      <c r="I17">
        <v>3</v>
      </c>
      <c r="J17">
        <v>44.452014920000003</v>
      </c>
      <c r="K17">
        <v>24.834753039999999</v>
      </c>
      <c r="L17">
        <v>24.834753039999999</v>
      </c>
      <c r="M17">
        <v>3.2122440339999998</v>
      </c>
      <c r="N17">
        <v>1</v>
      </c>
      <c r="O17">
        <v>3.2122440339999998</v>
      </c>
    </row>
    <row r="18" spans="1:15">
      <c r="A18">
        <v>0.49500345600000001</v>
      </c>
      <c r="B18">
        <v>-7.2259838000000007E-2</v>
      </c>
      <c r="C18">
        <v>0.247501728</v>
      </c>
      <c r="D18">
        <v>0.29687576799999998</v>
      </c>
      <c r="E18">
        <v>5</v>
      </c>
      <c r="F18">
        <v>36</v>
      </c>
      <c r="G18">
        <v>16</v>
      </c>
      <c r="H18">
        <v>1</v>
      </c>
      <c r="I18">
        <v>4</v>
      </c>
      <c r="J18">
        <v>54.962509160000003</v>
      </c>
      <c r="K18">
        <v>27.17002106</v>
      </c>
      <c r="L18">
        <v>27.17002106</v>
      </c>
      <c r="M18">
        <v>3.3021142480000001</v>
      </c>
      <c r="N18">
        <v>1</v>
      </c>
      <c r="O18">
        <v>3.3021142480000001</v>
      </c>
    </row>
    <row r="19" spans="1:15">
      <c r="A19">
        <v>-0.42253151700000002</v>
      </c>
      <c r="B19">
        <v>0.104107823</v>
      </c>
      <c r="C19">
        <v>-0.211265758</v>
      </c>
      <c r="D19">
        <v>-0.223263087</v>
      </c>
      <c r="E19">
        <v>6</v>
      </c>
      <c r="F19">
        <v>32</v>
      </c>
      <c r="G19">
        <v>12</v>
      </c>
      <c r="H19">
        <v>1</v>
      </c>
      <c r="I19">
        <v>3</v>
      </c>
      <c r="J19">
        <v>39.120841980000002</v>
      </c>
      <c r="K19">
        <v>16.864810940000002</v>
      </c>
      <c r="L19">
        <v>16.864810940000002</v>
      </c>
      <c r="M19">
        <v>2.8252291679999999</v>
      </c>
      <c r="N19">
        <v>1</v>
      </c>
      <c r="O19">
        <v>2.8252291679999999</v>
      </c>
    </row>
    <row r="20" spans="1:15">
      <c r="A20">
        <v>1.603513137</v>
      </c>
      <c r="B20">
        <v>-1.8645399519999999</v>
      </c>
      <c r="C20">
        <v>0.80175656799999995</v>
      </c>
      <c r="D20">
        <v>-0.19687468</v>
      </c>
      <c r="E20">
        <v>7</v>
      </c>
      <c r="F20">
        <v>36</v>
      </c>
      <c r="G20">
        <v>16</v>
      </c>
      <c r="H20">
        <v>1</v>
      </c>
      <c r="I20">
        <v>5</v>
      </c>
      <c r="J20">
        <v>54.037502289999999</v>
      </c>
      <c r="K20">
        <v>33.821079249999997</v>
      </c>
      <c r="L20">
        <v>33.821079249999997</v>
      </c>
      <c r="M20">
        <v>3.5210843089999999</v>
      </c>
      <c r="N20">
        <v>1</v>
      </c>
      <c r="O20">
        <v>3.5210843089999999</v>
      </c>
    </row>
    <row r="21" spans="1:15">
      <c r="A21">
        <v>-0.53727105900000005</v>
      </c>
      <c r="B21">
        <v>0.61744347600000005</v>
      </c>
      <c r="C21">
        <v>-0.26863553000000001</v>
      </c>
      <c r="D21">
        <v>6.0786657000000001E-2</v>
      </c>
      <c r="E21">
        <v>8</v>
      </c>
      <c r="F21">
        <v>46</v>
      </c>
      <c r="G21">
        <v>12</v>
      </c>
      <c r="H21">
        <v>1</v>
      </c>
      <c r="I21">
        <v>5</v>
      </c>
      <c r="J21">
        <v>58.12944031</v>
      </c>
      <c r="K21">
        <v>18.976373670000001</v>
      </c>
      <c r="L21">
        <v>18.976373670000001</v>
      </c>
      <c r="M21">
        <v>2.9431946280000001</v>
      </c>
      <c r="N21">
        <v>1</v>
      </c>
      <c r="O21">
        <v>2.9431946280000001</v>
      </c>
    </row>
    <row r="22" spans="1:15">
      <c r="A22">
        <v>-1.1110816219999999</v>
      </c>
      <c r="B22">
        <v>7.3657993000000005E-2</v>
      </c>
      <c r="C22">
        <v>-0.55554081099999997</v>
      </c>
      <c r="D22">
        <v>-0.72927736600000004</v>
      </c>
      <c r="E22">
        <v>9</v>
      </c>
      <c r="F22">
        <v>39</v>
      </c>
      <c r="G22">
        <v>16</v>
      </c>
      <c r="H22">
        <v>1</v>
      </c>
      <c r="I22">
        <v>0</v>
      </c>
      <c r="J22">
        <v>23.84867096</v>
      </c>
      <c r="K22">
        <v>18.13351059</v>
      </c>
      <c r="N22">
        <v>0</v>
      </c>
      <c r="O22">
        <v>0</v>
      </c>
    </row>
    <row r="23" spans="1:15">
      <c r="A23">
        <v>-2.41259128</v>
      </c>
      <c r="B23">
        <v>-0.38539344800000003</v>
      </c>
      <c r="C23">
        <v>-1.20629564</v>
      </c>
      <c r="D23">
        <v>-1.9710486190000001</v>
      </c>
      <c r="E23">
        <v>0</v>
      </c>
      <c r="F23">
        <v>34</v>
      </c>
      <c r="G23">
        <v>10</v>
      </c>
      <c r="H23">
        <v>0</v>
      </c>
      <c r="I23">
        <v>0</v>
      </c>
      <c r="J23">
        <v>-2.5525834559999998</v>
      </c>
      <c r="K23">
        <v>3.3244524000000002</v>
      </c>
      <c r="N23">
        <v>0</v>
      </c>
      <c r="O23">
        <v>0</v>
      </c>
    </row>
    <row r="24" spans="1:15">
      <c r="A24">
        <v>0.50801820200000003</v>
      </c>
      <c r="B24">
        <v>0.790284082</v>
      </c>
      <c r="C24">
        <v>0.25400910100000001</v>
      </c>
      <c r="D24">
        <v>0.91893777200000004</v>
      </c>
      <c r="E24">
        <v>1</v>
      </c>
      <c r="F24">
        <v>32</v>
      </c>
      <c r="G24">
        <v>10</v>
      </c>
      <c r="H24">
        <v>0</v>
      </c>
      <c r="I24">
        <v>3</v>
      </c>
      <c r="J24">
        <v>46.327251429999997</v>
      </c>
      <c r="K24">
        <v>20.44810867</v>
      </c>
      <c r="L24">
        <v>20.44810867</v>
      </c>
      <c r="M24">
        <v>3.0178904530000001</v>
      </c>
      <c r="N24">
        <v>1</v>
      </c>
      <c r="O24">
        <v>3.0178904530000001</v>
      </c>
    </row>
    <row r="25" spans="1:15">
      <c r="A25">
        <v>0.87588104899999997</v>
      </c>
      <c r="B25">
        <v>-1.4274845089999999</v>
      </c>
      <c r="C25">
        <v>0.437940524</v>
      </c>
      <c r="D25">
        <v>-0.39818222599999997</v>
      </c>
      <c r="E25">
        <v>2</v>
      </c>
      <c r="F25">
        <v>28</v>
      </c>
      <c r="G25">
        <v>10</v>
      </c>
      <c r="H25">
        <v>0</v>
      </c>
      <c r="I25">
        <v>2</v>
      </c>
      <c r="J25">
        <v>23.921813960000001</v>
      </c>
      <c r="K25">
        <v>21.855285640000002</v>
      </c>
      <c r="N25">
        <v>0</v>
      </c>
      <c r="O25">
        <v>0</v>
      </c>
    </row>
    <row r="26" spans="1:15">
      <c r="A26">
        <v>0.14629742200000001</v>
      </c>
      <c r="B26">
        <v>0.35072342000000001</v>
      </c>
      <c r="C26">
        <v>7.3148711000000005E-2</v>
      </c>
      <c r="D26">
        <v>0.35213351300000001</v>
      </c>
      <c r="E26">
        <v>3</v>
      </c>
      <c r="F26">
        <v>41</v>
      </c>
      <c r="G26">
        <v>12</v>
      </c>
      <c r="H26">
        <v>1</v>
      </c>
      <c r="I26">
        <v>0</v>
      </c>
      <c r="J26">
        <v>34.625602720000003</v>
      </c>
      <c r="K26">
        <v>22.077783579999998</v>
      </c>
      <c r="L26">
        <v>22.077783579999998</v>
      </c>
      <c r="M26">
        <v>3.0945718289999999</v>
      </c>
      <c r="N26">
        <v>1</v>
      </c>
      <c r="O26">
        <v>3.0945718289999999</v>
      </c>
    </row>
    <row r="27" spans="1:15">
      <c r="A27">
        <v>0.11097464899999999</v>
      </c>
      <c r="B27">
        <v>0.85803989400000003</v>
      </c>
      <c r="C27">
        <v>5.5487323999999998E-2</v>
      </c>
      <c r="D27">
        <v>0.68777379800000005</v>
      </c>
      <c r="E27">
        <v>4</v>
      </c>
      <c r="F27">
        <v>54</v>
      </c>
      <c r="G27">
        <v>16</v>
      </c>
      <c r="H27">
        <v>0</v>
      </c>
      <c r="I27">
        <v>3</v>
      </c>
      <c r="J27">
        <v>56.853286740000001</v>
      </c>
      <c r="K27">
        <v>28.465847019999998</v>
      </c>
      <c r="L27">
        <v>28.465847019999998</v>
      </c>
      <c r="M27">
        <v>3.3487050530000002</v>
      </c>
      <c r="N27">
        <v>1</v>
      </c>
      <c r="O27">
        <v>3.3487050530000002</v>
      </c>
    </row>
    <row r="28" spans="1:15">
      <c r="A28">
        <v>0.79344637500000004</v>
      </c>
      <c r="B28">
        <v>-3.8553749999999999E-3</v>
      </c>
      <c r="C28">
        <v>0.396723188</v>
      </c>
      <c r="D28">
        <v>0.55542950800000002</v>
      </c>
      <c r="E28">
        <v>5</v>
      </c>
      <c r="F28">
        <v>33</v>
      </c>
      <c r="G28">
        <v>12</v>
      </c>
      <c r="H28">
        <v>0</v>
      </c>
      <c r="I28">
        <v>3</v>
      </c>
      <c r="J28">
        <v>43.865154269999998</v>
      </c>
      <c r="K28">
        <v>24.360677720000002</v>
      </c>
      <c r="L28">
        <v>24.360677720000002</v>
      </c>
      <c r="M28">
        <v>3.1929702760000001</v>
      </c>
      <c r="N28">
        <v>1</v>
      </c>
      <c r="O28">
        <v>3.1929702760000001</v>
      </c>
    </row>
    <row r="29" spans="1:15">
      <c r="A29">
        <v>-1.3333402249999999</v>
      </c>
      <c r="B29">
        <v>1.0666451109999999</v>
      </c>
      <c r="C29">
        <v>-0.66667011300000001</v>
      </c>
      <c r="D29">
        <v>-0.18003376800000001</v>
      </c>
      <c r="E29">
        <v>6</v>
      </c>
      <c r="F29">
        <v>36</v>
      </c>
      <c r="G29">
        <v>12</v>
      </c>
      <c r="H29">
        <v>1</v>
      </c>
      <c r="I29">
        <v>5</v>
      </c>
      <c r="J29">
        <v>51.239593509999999</v>
      </c>
      <c r="K29">
        <v>12.199958799999999</v>
      </c>
      <c r="L29">
        <v>12.199958799999999</v>
      </c>
      <c r="M29">
        <v>2.5014326570000001</v>
      </c>
      <c r="N29">
        <v>1</v>
      </c>
      <c r="O29">
        <v>2.5014326570000001</v>
      </c>
    </row>
    <row r="30" spans="1:15">
      <c r="A30">
        <v>-0.63531514700000002</v>
      </c>
      <c r="B30">
        <v>-0.38230085200000002</v>
      </c>
      <c r="C30">
        <v>-0.317657574</v>
      </c>
      <c r="D30">
        <v>-0.71858316200000005</v>
      </c>
      <c r="E30">
        <v>7</v>
      </c>
      <c r="F30">
        <v>40</v>
      </c>
      <c r="G30">
        <v>12</v>
      </c>
      <c r="H30">
        <v>1</v>
      </c>
      <c r="I30">
        <v>0</v>
      </c>
      <c r="J30">
        <v>21.37700272</v>
      </c>
      <c r="K30">
        <v>17.188108440000001</v>
      </c>
      <c r="N30">
        <v>0</v>
      </c>
      <c r="O30">
        <v>0</v>
      </c>
    </row>
    <row r="31" spans="1:15">
      <c r="A31">
        <v>-6.9523826999999996E-2</v>
      </c>
      <c r="B31">
        <v>-6.2352000000000002E-4</v>
      </c>
      <c r="C31">
        <v>-3.4761913999999998E-2</v>
      </c>
      <c r="D31">
        <v>-4.9351279999999997E-2</v>
      </c>
      <c r="E31">
        <v>8</v>
      </c>
      <c r="F31">
        <v>38</v>
      </c>
      <c r="G31">
        <v>16</v>
      </c>
      <c r="H31">
        <v>1</v>
      </c>
      <c r="I31">
        <v>2</v>
      </c>
      <c r="J31">
        <v>41.607784270000003</v>
      </c>
      <c r="K31">
        <v>24.182857510000002</v>
      </c>
      <c r="L31">
        <v>24.182857510000002</v>
      </c>
      <c r="M31">
        <v>3.1856439110000001</v>
      </c>
      <c r="N31">
        <v>1</v>
      </c>
      <c r="O31">
        <v>3.1856439110000001</v>
      </c>
    </row>
    <row r="32" spans="1:15">
      <c r="A32">
        <v>0.34090756700000002</v>
      </c>
      <c r="B32">
        <v>-0.45436412999999998</v>
      </c>
      <c r="C32">
        <v>0.170453783</v>
      </c>
      <c r="D32">
        <v>-8.3042386999999995E-2</v>
      </c>
      <c r="E32">
        <v>9</v>
      </c>
      <c r="F32">
        <v>49</v>
      </c>
      <c r="G32">
        <v>20</v>
      </c>
      <c r="H32">
        <v>1</v>
      </c>
      <c r="I32">
        <v>0</v>
      </c>
      <c r="J32">
        <v>38.60349274</v>
      </c>
      <c r="K32">
        <v>32.84544373</v>
      </c>
      <c r="L32">
        <v>32.84544373</v>
      </c>
      <c r="M32">
        <v>3.4918129439999999</v>
      </c>
      <c r="N32">
        <v>1</v>
      </c>
      <c r="O32">
        <v>3.4918129439999999</v>
      </c>
    </row>
    <row r="33" spans="1:15">
      <c r="A33">
        <v>0.29725776500000001</v>
      </c>
      <c r="B33">
        <v>0.45409503600000001</v>
      </c>
      <c r="C33">
        <v>0.14862888199999999</v>
      </c>
      <c r="D33">
        <v>0.53178402499999999</v>
      </c>
      <c r="E33">
        <v>0</v>
      </c>
      <c r="F33">
        <v>45</v>
      </c>
      <c r="G33">
        <v>12</v>
      </c>
      <c r="H33">
        <v>0</v>
      </c>
      <c r="I33">
        <v>1</v>
      </c>
      <c r="J33">
        <v>38.381408690000001</v>
      </c>
      <c r="K33">
        <v>23.783546449999999</v>
      </c>
      <c r="L33">
        <v>23.783546449999999</v>
      </c>
      <c r="M33">
        <v>3.1689939499999999</v>
      </c>
      <c r="N33">
        <v>1</v>
      </c>
      <c r="O33">
        <v>3.1689939499999999</v>
      </c>
    </row>
    <row r="34" spans="1:15">
      <c r="A34">
        <v>0.82010187999999995</v>
      </c>
      <c r="B34">
        <v>0.15853182699999999</v>
      </c>
      <c r="C34">
        <v>0.41005093999999997</v>
      </c>
      <c r="D34">
        <v>0.68957006799999998</v>
      </c>
      <c r="E34">
        <v>1</v>
      </c>
      <c r="F34">
        <v>49</v>
      </c>
      <c r="G34">
        <v>10</v>
      </c>
      <c r="H34">
        <v>1</v>
      </c>
      <c r="I34">
        <v>1</v>
      </c>
      <c r="J34">
        <v>45.374839780000002</v>
      </c>
      <c r="K34">
        <v>25.720611569999999</v>
      </c>
      <c r="L34">
        <v>25.720611569999999</v>
      </c>
      <c r="M34">
        <v>3.2472927569999999</v>
      </c>
      <c r="N34">
        <v>1</v>
      </c>
      <c r="O34">
        <v>3.2472927569999999</v>
      </c>
    </row>
    <row r="35" spans="1:15">
      <c r="A35">
        <v>-1.496305687</v>
      </c>
      <c r="B35">
        <v>-0.92395127700000002</v>
      </c>
      <c r="C35">
        <v>-0.74815284400000004</v>
      </c>
      <c r="D35">
        <v>-1.7091537640000001</v>
      </c>
      <c r="E35">
        <v>2</v>
      </c>
      <c r="F35">
        <v>31</v>
      </c>
      <c r="G35">
        <v>16</v>
      </c>
      <c r="H35">
        <v>0</v>
      </c>
      <c r="I35">
        <v>2</v>
      </c>
      <c r="J35">
        <v>13.890154839999999</v>
      </c>
      <c r="K35">
        <v>14.222166059999999</v>
      </c>
      <c r="N35">
        <v>0</v>
      </c>
      <c r="O35">
        <v>0</v>
      </c>
    </row>
    <row r="36" spans="1:15">
      <c r="A36">
        <v>-0.30771200599999998</v>
      </c>
      <c r="B36">
        <v>-1.455470885</v>
      </c>
      <c r="C36">
        <v>-0.15385600299999999</v>
      </c>
      <c r="D36">
        <v>-1.250695973</v>
      </c>
      <c r="E36">
        <v>3</v>
      </c>
      <c r="F36">
        <v>39</v>
      </c>
      <c r="G36">
        <v>10</v>
      </c>
      <c r="H36">
        <v>0</v>
      </c>
      <c r="I36">
        <v>3</v>
      </c>
      <c r="J36">
        <v>23.0916481</v>
      </c>
      <c r="K36">
        <v>16.95372772</v>
      </c>
      <c r="N36">
        <v>0</v>
      </c>
      <c r="O36">
        <v>0</v>
      </c>
    </row>
    <row r="37" spans="1:15">
      <c r="A37">
        <v>-0.35495891000000002</v>
      </c>
      <c r="B37">
        <v>0.30686348699999999</v>
      </c>
      <c r="C37">
        <v>-0.17747945500000001</v>
      </c>
      <c r="D37">
        <v>-3.1653379000000002E-2</v>
      </c>
      <c r="E37">
        <v>4</v>
      </c>
      <c r="F37">
        <v>39</v>
      </c>
      <c r="G37">
        <v>16</v>
      </c>
      <c r="H37">
        <v>1</v>
      </c>
      <c r="I37">
        <v>1</v>
      </c>
      <c r="J37">
        <v>37.220157620000002</v>
      </c>
      <c r="K37">
        <v>22.670246120000002</v>
      </c>
      <c r="L37">
        <v>22.670246120000002</v>
      </c>
      <c r="M37">
        <v>3.1210532190000002</v>
      </c>
      <c r="N37">
        <v>1</v>
      </c>
      <c r="O37">
        <v>3.1210532190000002</v>
      </c>
    </row>
    <row r="38" spans="1:15">
      <c r="A38">
        <v>0.40739606</v>
      </c>
      <c r="B38">
        <v>0.60448587899999995</v>
      </c>
      <c r="C38">
        <v>0.20369803</v>
      </c>
      <c r="D38">
        <v>0.71612820099999996</v>
      </c>
      <c r="E38">
        <v>5</v>
      </c>
      <c r="F38">
        <v>30</v>
      </c>
      <c r="G38">
        <v>12</v>
      </c>
      <c r="H38">
        <v>1</v>
      </c>
      <c r="I38">
        <v>3</v>
      </c>
      <c r="J38">
        <v>49.593540189999999</v>
      </c>
      <c r="K38">
        <v>21.444375990000001</v>
      </c>
      <c r="L38">
        <v>21.444375990000001</v>
      </c>
      <c r="M38">
        <v>3.0654623509999999</v>
      </c>
      <c r="N38">
        <v>1</v>
      </c>
      <c r="O38">
        <v>3.0654623509999999</v>
      </c>
    </row>
    <row r="39" spans="1:15">
      <c r="A39">
        <v>-0.52427797499999995</v>
      </c>
      <c r="B39">
        <v>-1.4616810689999999</v>
      </c>
      <c r="C39">
        <v>-0.26213898800000002</v>
      </c>
      <c r="D39">
        <v>-1.4074573800000001</v>
      </c>
      <c r="E39">
        <v>6</v>
      </c>
      <c r="F39">
        <v>45</v>
      </c>
      <c r="G39">
        <v>12</v>
      </c>
      <c r="H39">
        <v>1</v>
      </c>
      <c r="I39">
        <v>0</v>
      </c>
      <c r="J39">
        <v>15.11051178</v>
      </c>
      <c r="K39">
        <v>18.85433197</v>
      </c>
      <c r="N39">
        <v>0</v>
      </c>
      <c r="O39">
        <v>0</v>
      </c>
    </row>
    <row r="40" spans="1:15">
      <c r="A40">
        <v>1.5611502690000001</v>
      </c>
      <c r="B40">
        <v>0.45916948200000002</v>
      </c>
      <c r="C40">
        <v>0.780575134</v>
      </c>
      <c r="D40">
        <v>1.4245056030000001</v>
      </c>
      <c r="E40">
        <v>7</v>
      </c>
      <c r="F40">
        <v>55</v>
      </c>
      <c r="G40">
        <v>12</v>
      </c>
      <c r="H40">
        <v>1</v>
      </c>
      <c r="I40">
        <v>1</v>
      </c>
      <c r="J40">
        <v>58.09406662</v>
      </c>
      <c r="K40">
        <v>33.366901400000003</v>
      </c>
      <c r="L40">
        <v>33.366901400000003</v>
      </c>
      <c r="M40">
        <v>3.5075645450000001</v>
      </c>
      <c r="N40">
        <v>1</v>
      </c>
      <c r="O40">
        <v>3.5075645450000001</v>
      </c>
    </row>
    <row r="41" spans="1:15">
      <c r="A41">
        <v>-5.3438962E-2</v>
      </c>
      <c r="B41">
        <v>0.84135455199999998</v>
      </c>
      <c r="C41">
        <v>-2.6719481E-2</v>
      </c>
      <c r="D41">
        <v>0.56025679299999998</v>
      </c>
      <c r="E41">
        <v>8</v>
      </c>
      <c r="F41">
        <v>44</v>
      </c>
      <c r="G41">
        <v>12</v>
      </c>
      <c r="H41">
        <v>1</v>
      </c>
      <c r="I41">
        <v>3</v>
      </c>
      <c r="J41">
        <v>53.323081969999997</v>
      </c>
      <c r="K41">
        <v>21.479366299999999</v>
      </c>
      <c r="L41">
        <v>21.479366299999999</v>
      </c>
      <c r="M41">
        <v>3.0670926569999999</v>
      </c>
      <c r="N41">
        <v>1</v>
      </c>
      <c r="O41">
        <v>3.0670926569999999</v>
      </c>
    </row>
    <row r="42" spans="1:15">
      <c r="A42">
        <v>0.60374514099999999</v>
      </c>
      <c r="B42">
        <v>1.3113569540000001</v>
      </c>
      <c r="C42">
        <v>0.30187257099999998</v>
      </c>
      <c r="D42">
        <v>1.3565431699999999</v>
      </c>
      <c r="E42">
        <v>9</v>
      </c>
      <c r="F42">
        <v>43</v>
      </c>
      <c r="G42">
        <v>16</v>
      </c>
      <c r="H42">
        <v>1</v>
      </c>
      <c r="I42">
        <v>4</v>
      </c>
      <c r="J42">
        <v>70.478515630000004</v>
      </c>
      <c r="K42">
        <v>29.222471240000001</v>
      </c>
      <c r="L42">
        <v>29.222471240000001</v>
      </c>
      <c r="M42">
        <v>3.3749380109999998</v>
      </c>
      <c r="N42">
        <v>1</v>
      </c>
      <c r="O42">
        <v>3.3749380109999998</v>
      </c>
    </row>
    <row r="43" spans="1:15">
      <c r="A43">
        <v>-2.6202899839999998</v>
      </c>
      <c r="B43">
        <v>2.402797429</v>
      </c>
      <c r="C43">
        <v>-1.3101449919999999</v>
      </c>
      <c r="D43">
        <v>-0.13592660500000001</v>
      </c>
      <c r="E43">
        <v>0</v>
      </c>
      <c r="F43">
        <v>50</v>
      </c>
      <c r="G43">
        <v>10</v>
      </c>
      <c r="H43">
        <v>0</v>
      </c>
      <c r="I43">
        <v>0</v>
      </c>
      <c r="J43">
        <v>25.86888123</v>
      </c>
      <c r="K43">
        <v>5.278260231</v>
      </c>
      <c r="N43">
        <v>0</v>
      </c>
      <c r="O43">
        <v>0</v>
      </c>
    </row>
    <row r="44" spans="1:15">
      <c r="A44">
        <v>-0.90527732999999999</v>
      </c>
      <c r="B44">
        <v>-0.15419353699999999</v>
      </c>
      <c r="C44">
        <v>-0.452638665</v>
      </c>
      <c r="D44">
        <v>-0.74640609700000005</v>
      </c>
      <c r="E44">
        <v>1</v>
      </c>
      <c r="F44">
        <v>24</v>
      </c>
      <c r="G44">
        <v>10</v>
      </c>
      <c r="H44">
        <v>0</v>
      </c>
      <c r="I44">
        <v>2</v>
      </c>
      <c r="J44">
        <v>18.143127440000001</v>
      </c>
      <c r="K44">
        <v>10.368335719999999</v>
      </c>
      <c r="N44">
        <v>0</v>
      </c>
      <c r="O44">
        <v>0</v>
      </c>
    </row>
    <row r="45" spans="1:15">
      <c r="A45">
        <v>-1.3250986039999999</v>
      </c>
      <c r="B45">
        <v>-0.88712486499999998</v>
      </c>
      <c r="C45">
        <v>-0.66254930199999995</v>
      </c>
      <c r="D45">
        <v>-1.562545885</v>
      </c>
      <c r="E45">
        <v>2</v>
      </c>
      <c r="F45">
        <v>24</v>
      </c>
      <c r="G45">
        <v>10</v>
      </c>
      <c r="H45">
        <v>1</v>
      </c>
      <c r="I45">
        <v>4</v>
      </c>
      <c r="J45">
        <v>23.349449159999999</v>
      </c>
      <c r="K45">
        <v>7.8494081500000004</v>
      </c>
      <c r="N45">
        <v>0</v>
      </c>
      <c r="O45">
        <v>0</v>
      </c>
    </row>
    <row r="46" spans="1:15">
      <c r="A46">
        <v>-1.037463593</v>
      </c>
      <c r="B46">
        <v>-0.34962395800000001</v>
      </c>
      <c r="C46">
        <v>-0.51873179599999997</v>
      </c>
      <c r="D46">
        <v>-0.97826467399999995</v>
      </c>
      <c r="E46">
        <v>3</v>
      </c>
      <c r="F46">
        <v>52</v>
      </c>
      <c r="G46">
        <v>10</v>
      </c>
      <c r="H46">
        <v>1</v>
      </c>
      <c r="I46">
        <v>1</v>
      </c>
      <c r="J46">
        <v>26.56082344</v>
      </c>
      <c r="K46">
        <v>15.175218579999999</v>
      </c>
      <c r="N46">
        <v>0</v>
      </c>
      <c r="O46">
        <v>0</v>
      </c>
    </row>
    <row r="47" spans="1:15">
      <c r="A47">
        <v>-0.14322153300000001</v>
      </c>
      <c r="B47">
        <v>0.40989253599999997</v>
      </c>
      <c r="C47">
        <v>-7.1610767000000006E-2</v>
      </c>
      <c r="D47">
        <v>0.19050878700000001</v>
      </c>
      <c r="E47">
        <v>4</v>
      </c>
      <c r="F47">
        <v>52</v>
      </c>
      <c r="G47">
        <v>12</v>
      </c>
      <c r="H47">
        <v>1</v>
      </c>
      <c r="I47">
        <v>0</v>
      </c>
      <c r="J47">
        <v>37.086105349999997</v>
      </c>
      <c r="K47">
        <v>22.540670389999999</v>
      </c>
      <c r="L47">
        <v>22.540670389999999</v>
      </c>
      <c r="M47">
        <v>3.1153211590000001</v>
      </c>
      <c r="N47">
        <v>1</v>
      </c>
      <c r="O47">
        <v>3.1153211590000001</v>
      </c>
    </row>
    <row r="48" spans="1:15">
      <c r="A48">
        <v>-0.67869020700000005</v>
      </c>
      <c r="B48">
        <v>-0.189270931</v>
      </c>
      <c r="C48">
        <v>-0.33934510299999998</v>
      </c>
      <c r="D48">
        <v>-0.61193319499999999</v>
      </c>
      <c r="E48">
        <v>5</v>
      </c>
      <c r="F48">
        <v>35</v>
      </c>
      <c r="G48">
        <v>12</v>
      </c>
      <c r="H48">
        <v>1</v>
      </c>
      <c r="I48">
        <v>1</v>
      </c>
      <c r="J48">
        <v>25.656801219999998</v>
      </c>
      <c r="K48">
        <v>15.927858349999999</v>
      </c>
      <c r="N48">
        <v>0</v>
      </c>
      <c r="O48">
        <v>0</v>
      </c>
    </row>
    <row r="49" spans="1:15">
      <c r="A49">
        <v>-2.4154823909999998</v>
      </c>
      <c r="B49">
        <v>3.3930792000000001E-2</v>
      </c>
      <c r="C49">
        <v>-1.207741196</v>
      </c>
      <c r="D49">
        <v>-1.6751190199999999</v>
      </c>
      <c r="E49">
        <v>6</v>
      </c>
      <c r="F49">
        <v>53</v>
      </c>
      <c r="G49">
        <v>10</v>
      </c>
      <c r="H49">
        <v>1</v>
      </c>
      <c r="I49">
        <v>1</v>
      </c>
      <c r="J49">
        <v>18.59857178</v>
      </c>
      <c r="K49">
        <v>7.107105732</v>
      </c>
      <c r="N49">
        <v>0</v>
      </c>
      <c r="O49">
        <v>0</v>
      </c>
    </row>
    <row r="50" spans="1:15">
      <c r="A50">
        <v>0.104817535</v>
      </c>
      <c r="B50">
        <v>-0.261808612</v>
      </c>
      <c r="C50">
        <v>5.2408767000000002E-2</v>
      </c>
      <c r="D50">
        <v>-0.11229953300000001</v>
      </c>
      <c r="E50">
        <v>7</v>
      </c>
      <c r="F50">
        <v>38</v>
      </c>
      <c r="G50">
        <v>12</v>
      </c>
      <c r="H50">
        <v>1</v>
      </c>
      <c r="I50">
        <v>4</v>
      </c>
      <c r="J50">
        <v>47.85240555</v>
      </c>
      <c r="K50">
        <v>21.228904719999999</v>
      </c>
      <c r="L50">
        <v>21.228904719999999</v>
      </c>
      <c r="M50">
        <v>3.0553636549999998</v>
      </c>
      <c r="N50">
        <v>1</v>
      </c>
      <c r="O50">
        <v>3.0553636549999998</v>
      </c>
    </row>
    <row r="51" spans="1:15">
      <c r="A51">
        <v>-0.33557474399999998</v>
      </c>
      <c r="B51">
        <v>-1.129284961</v>
      </c>
      <c r="C51">
        <v>-0.16778737199999999</v>
      </c>
      <c r="D51">
        <v>-1.038515493</v>
      </c>
      <c r="E51">
        <v>8</v>
      </c>
      <c r="F51">
        <v>43</v>
      </c>
      <c r="G51">
        <v>16</v>
      </c>
      <c r="H51">
        <v>1</v>
      </c>
      <c r="I51">
        <v>1</v>
      </c>
      <c r="J51">
        <v>26.73781395</v>
      </c>
      <c r="K51">
        <v>23.586551669999999</v>
      </c>
      <c r="N51">
        <v>0</v>
      </c>
      <c r="O51">
        <v>0</v>
      </c>
    </row>
    <row r="52" spans="1:15">
      <c r="A52">
        <v>0.16701058899999999</v>
      </c>
      <c r="B52">
        <v>1.770208097</v>
      </c>
      <c r="C52">
        <v>8.3505293999999994E-2</v>
      </c>
      <c r="D52">
        <v>1.3753621250000001</v>
      </c>
      <c r="E52">
        <v>9</v>
      </c>
      <c r="F52">
        <v>40</v>
      </c>
      <c r="G52">
        <v>16</v>
      </c>
      <c r="H52">
        <v>1</v>
      </c>
      <c r="I52">
        <v>3</v>
      </c>
      <c r="J52">
        <v>64.504348750000005</v>
      </c>
      <c r="K52">
        <v>26.002063750000001</v>
      </c>
      <c r="L52">
        <v>26.002063750000001</v>
      </c>
      <c r="M52">
        <v>3.2581758500000002</v>
      </c>
      <c r="N52">
        <v>1</v>
      </c>
      <c r="O52">
        <v>3.2581758500000002</v>
      </c>
    </row>
    <row r="53" spans="1:15">
      <c r="A53">
        <v>3.4276051000000002E-2</v>
      </c>
      <c r="B53">
        <v>-0.41215052299999999</v>
      </c>
      <c r="C53">
        <v>1.7138025000000001E-2</v>
      </c>
      <c r="D53">
        <v>-0.26875360500000001</v>
      </c>
      <c r="E53">
        <v>0</v>
      </c>
      <c r="F53">
        <v>24</v>
      </c>
      <c r="G53">
        <v>10</v>
      </c>
      <c r="H53">
        <v>0</v>
      </c>
      <c r="I53">
        <v>3</v>
      </c>
      <c r="J53">
        <v>28.874956130000001</v>
      </c>
      <c r="K53">
        <v>16.005657200000002</v>
      </c>
      <c r="N53">
        <v>0</v>
      </c>
      <c r="O53">
        <v>0</v>
      </c>
    </row>
    <row r="54" spans="1:15">
      <c r="A54">
        <v>0.78270641699999999</v>
      </c>
      <c r="B54">
        <v>-0.57892801199999999</v>
      </c>
      <c r="C54">
        <v>0.39135320800000001</v>
      </c>
      <c r="D54">
        <v>0.139239105</v>
      </c>
      <c r="E54">
        <v>1</v>
      </c>
      <c r="F54">
        <v>46</v>
      </c>
      <c r="G54">
        <v>12</v>
      </c>
      <c r="H54">
        <v>0</v>
      </c>
      <c r="I54">
        <v>3</v>
      </c>
      <c r="J54">
        <v>44.070869450000004</v>
      </c>
      <c r="K54">
        <v>26.896238329999999</v>
      </c>
      <c r="L54">
        <v>26.896238329999999</v>
      </c>
      <c r="M54">
        <v>3.2919864649999999</v>
      </c>
      <c r="N54">
        <v>1</v>
      </c>
      <c r="O54">
        <v>3.2919864649999999</v>
      </c>
    </row>
    <row r="55" spans="1:15">
      <c r="A55">
        <v>0.59447894000000001</v>
      </c>
      <c r="B55">
        <v>0.25036597199999999</v>
      </c>
      <c r="C55">
        <v>0.29723947000000001</v>
      </c>
      <c r="D55">
        <v>0.59610565599999998</v>
      </c>
      <c r="E55">
        <v>2</v>
      </c>
      <c r="F55">
        <v>56</v>
      </c>
      <c r="G55">
        <v>16</v>
      </c>
      <c r="H55">
        <v>0</v>
      </c>
      <c r="I55">
        <v>2</v>
      </c>
      <c r="J55">
        <v>51.553268430000003</v>
      </c>
      <c r="K55">
        <v>31.766874309999999</v>
      </c>
      <c r="L55">
        <v>31.766874309999999</v>
      </c>
      <c r="M55">
        <v>3.4584240909999999</v>
      </c>
      <c r="N55">
        <v>1</v>
      </c>
      <c r="O55">
        <v>3.4584240909999999</v>
      </c>
    </row>
    <row r="56" spans="1:15">
      <c r="A56">
        <v>-0.16526053499999999</v>
      </c>
      <c r="B56">
        <v>-1.8181716619999999</v>
      </c>
      <c r="C56">
        <v>-8.2630266999999993E-2</v>
      </c>
      <c r="D56">
        <v>-1.408212958</v>
      </c>
      <c r="E56">
        <v>3</v>
      </c>
      <c r="F56">
        <v>28</v>
      </c>
      <c r="G56">
        <v>10</v>
      </c>
      <c r="H56">
        <v>0</v>
      </c>
      <c r="I56">
        <v>3</v>
      </c>
      <c r="J56">
        <v>16.801445009999998</v>
      </c>
      <c r="K56">
        <v>15.608436579999999</v>
      </c>
      <c r="N56">
        <v>0</v>
      </c>
      <c r="O56">
        <v>0</v>
      </c>
    </row>
    <row r="57" spans="1:15">
      <c r="A57">
        <v>1.57884446</v>
      </c>
      <c r="B57">
        <v>-2.95986438</v>
      </c>
      <c r="C57">
        <v>0.78942223</v>
      </c>
      <c r="D57">
        <v>-0.99254409899999996</v>
      </c>
      <c r="E57">
        <v>4</v>
      </c>
      <c r="F57">
        <v>34</v>
      </c>
      <c r="G57">
        <v>10</v>
      </c>
      <c r="H57">
        <v>0</v>
      </c>
      <c r="I57">
        <v>1</v>
      </c>
      <c r="J57">
        <v>14.18947124</v>
      </c>
      <c r="K57">
        <v>27.273067470000001</v>
      </c>
      <c r="N57">
        <v>0</v>
      </c>
      <c r="O57">
        <v>0</v>
      </c>
    </row>
    <row r="58" spans="1:15">
      <c r="A58">
        <v>0.93877247500000005</v>
      </c>
      <c r="B58">
        <v>-2.1443200029999998</v>
      </c>
      <c r="C58">
        <v>0.46938623699999998</v>
      </c>
      <c r="D58">
        <v>-0.86330870199999998</v>
      </c>
      <c r="E58">
        <v>5</v>
      </c>
      <c r="F58">
        <v>36</v>
      </c>
      <c r="G58">
        <v>12</v>
      </c>
      <c r="H58">
        <v>1</v>
      </c>
      <c r="I58">
        <v>1</v>
      </c>
      <c r="J58">
        <v>23.04029465</v>
      </c>
      <c r="K58">
        <v>25.83263397</v>
      </c>
      <c r="N58">
        <v>0</v>
      </c>
      <c r="O58">
        <v>0</v>
      </c>
    </row>
    <row r="59" spans="1:15">
      <c r="A59">
        <v>-0.17325043000000001</v>
      </c>
      <c r="B59">
        <v>0.44694200899999997</v>
      </c>
      <c r="C59">
        <v>-8.6625215000000005E-2</v>
      </c>
      <c r="D59">
        <v>0.19571084699999999</v>
      </c>
      <c r="E59">
        <v>6</v>
      </c>
      <c r="F59">
        <v>39</v>
      </c>
      <c r="G59">
        <v>12</v>
      </c>
      <c r="H59">
        <v>1</v>
      </c>
      <c r="I59">
        <v>5</v>
      </c>
      <c r="J59">
        <v>56.948528289999999</v>
      </c>
      <c r="K59">
        <v>19.760498049999999</v>
      </c>
      <c r="L59">
        <v>19.760498049999999</v>
      </c>
      <c r="M59">
        <v>2.9836847780000002</v>
      </c>
      <c r="N59">
        <v>1</v>
      </c>
      <c r="O59">
        <v>2.9836847780000002</v>
      </c>
    </row>
    <row r="60" spans="1:15">
      <c r="A60">
        <v>-0.569218428</v>
      </c>
      <c r="B60">
        <v>0.64752162700000004</v>
      </c>
      <c r="C60">
        <v>-0.284609214</v>
      </c>
      <c r="D60">
        <v>5.9685439999999999E-2</v>
      </c>
      <c r="E60">
        <v>7</v>
      </c>
      <c r="F60">
        <v>55</v>
      </c>
      <c r="G60">
        <v>12</v>
      </c>
      <c r="H60">
        <v>1</v>
      </c>
      <c r="I60">
        <v>0</v>
      </c>
      <c r="J60">
        <v>36.716224670000003</v>
      </c>
      <c r="K60">
        <v>20.584690089999999</v>
      </c>
      <c r="L60">
        <v>20.584690089999999</v>
      </c>
      <c r="M60">
        <v>3.0245475769999999</v>
      </c>
      <c r="N60">
        <v>1</v>
      </c>
      <c r="O60">
        <v>3.0245475769999999</v>
      </c>
    </row>
    <row r="61" spans="1:15">
      <c r="A61">
        <v>0.402535221</v>
      </c>
      <c r="B61">
        <v>-1.6591999669999999</v>
      </c>
      <c r="C61">
        <v>0.20126761100000001</v>
      </c>
      <c r="D61">
        <v>-0.89582117999999999</v>
      </c>
      <c r="E61">
        <v>8</v>
      </c>
      <c r="F61">
        <v>38</v>
      </c>
      <c r="G61">
        <v>20</v>
      </c>
      <c r="H61">
        <v>1</v>
      </c>
      <c r="I61">
        <v>0</v>
      </c>
      <c r="J61">
        <v>24.450145719999998</v>
      </c>
      <c r="K61">
        <v>31.015211109999999</v>
      </c>
      <c r="N61">
        <v>0</v>
      </c>
      <c r="O61">
        <v>0</v>
      </c>
    </row>
    <row r="62" spans="1:15">
      <c r="A62">
        <v>-0.36827309800000002</v>
      </c>
      <c r="B62">
        <v>1.289446876</v>
      </c>
      <c r="C62">
        <v>-0.18413654900000001</v>
      </c>
      <c r="D62">
        <v>0.65718454599999998</v>
      </c>
      <c r="E62">
        <v>9</v>
      </c>
      <c r="F62">
        <v>40</v>
      </c>
      <c r="G62">
        <v>16</v>
      </c>
      <c r="H62">
        <v>1</v>
      </c>
      <c r="I62">
        <v>4</v>
      </c>
      <c r="J62">
        <v>60.886215210000003</v>
      </c>
      <c r="K62">
        <v>22.790361399999998</v>
      </c>
      <c r="L62">
        <v>22.790361399999998</v>
      </c>
      <c r="M62">
        <v>3.1263377669999999</v>
      </c>
      <c r="N62">
        <v>1</v>
      </c>
      <c r="O62">
        <v>3.1263377669999999</v>
      </c>
    </row>
    <row r="63" spans="1:15">
      <c r="A63">
        <v>1.4824706750000001</v>
      </c>
      <c r="B63">
        <v>-1.1661717840000001</v>
      </c>
      <c r="C63">
        <v>0.74123533699999999</v>
      </c>
      <c r="D63">
        <v>0.21422152799999999</v>
      </c>
      <c r="E63">
        <v>0</v>
      </c>
      <c r="F63">
        <v>24</v>
      </c>
      <c r="G63">
        <v>12</v>
      </c>
      <c r="H63">
        <v>0</v>
      </c>
      <c r="I63">
        <v>0</v>
      </c>
      <c r="J63">
        <v>21.170658110000002</v>
      </c>
      <c r="K63">
        <v>26.694824220000001</v>
      </c>
      <c r="N63">
        <v>0</v>
      </c>
      <c r="O63">
        <v>0</v>
      </c>
    </row>
    <row r="64" spans="1:15">
      <c r="A64">
        <v>-0.22172257000000001</v>
      </c>
      <c r="B64">
        <v>2.1675322700000001</v>
      </c>
      <c r="C64">
        <v>-0.110861285</v>
      </c>
      <c r="D64">
        <v>1.384228988</v>
      </c>
      <c r="E64">
        <v>1</v>
      </c>
      <c r="F64">
        <v>34</v>
      </c>
      <c r="G64">
        <v>10</v>
      </c>
      <c r="H64">
        <v>0</v>
      </c>
      <c r="I64">
        <v>0</v>
      </c>
      <c r="J64">
        <v>37.71074677</v>
      </c>
      <c r="K64">
        <v>16.46966553</v>
      </c>
      <c r="L64">
        <v>16.46966553</v>
      </c>
      <c r="M64">
        <v>2.8015203479999999</v>
      </c>
      <c r="N64">
        <v>1</v>
      </c>
      <c r="O64">
        <v>2.8015203479999999</v>
      </c>
    </row>
    <row r="65" spans="1:15">
      <c r="A65">
        <v>4.0262327000000001E-2</v>
      </c>
      <c r="B65">
        <v>-1.381406916</v>
      </c>
      <c r="C65">
        <v>2.0131163000000001E-2</v>
      </c>
      <c r="D65">
        <v>-0.95327662899999999</v>
      </c>
      <c r="E65">
        <v>2</v>
      </c>
      <c r="F65">
        <v>38</v>
      </c>
      <c r="G65">
        <v>10</v>
      </c>
      <c r="H65">
        <v>1</v>
      </c>
      <c r="I65">
        <v>0</v>
      </c>
      <c r="J65">
        <v>16.26068115</v>
      </c>
      <c r="K65">
        <v>18.84157372</v>
      </c>
      <c r="N65">
        <v>0</v>
      </c>
      <c r="O65">
        <v>0</v>
      </c>
    </row>
    <row r="66" spans="1:15">
      <c r="A66">
        <v>0.34430460099999999</v>
      </c>
      <c r="B66">
        <v>2.1570018549999999</v>
      </c>
      <c r="C66">
        <v>0.17215230000000001</v>
      </c>
      <c r="D66">
        <v>1.774931802</v>
      </c>
      <c r="E66">
        <v>3</v>
      </c>
      <c r="F66">
        <v>40</v>
      </c>
      <c r="G66">
        <v>12</v>
      </c>
      <c r="H66">
        <v>0</v>
      </c>
      <c r="I66">
        <v>1</v>
      </c>
      <c r="J66">
        <v>51.299182889999997</v>
      </c>
      <c r="K66">
        <v>23.065828320000001</v>
      </c>
      <c r="L66">
        <v>23.065828320000001</v>
      </c>
      <c r="M66">
        <v>3.1383521559999998</v>
      </c>
      <c r="N66">
        <v>1</v>
      </c>
      <c r="O66">
        <v>3.1383521559999998</v>
      </c>
    </row>
    <row r="67" spans="1:15">
      <c r="A67">
        <v>-1.409974343</v>
      </c>
      <c r="B67">
        <v>1.70870184</v>
      </c>
      <c r="C67">
        <v>-0.70498717200000005</v>
      </c>
      <c r="D67">
        <v>0.22228878299999999</v>
      </c>
      <c r="E67">
        <v>4</v>
      </c>
      <c r="F67">
        <v>28</v>
      </c>
      <c r="G67">
        <v>12</v>
      </c>
      <c r="H67">
        <v>1</v>
      </c>
      <c r="I67">
        <v>3</v>
      </c>
      <c r="J67">
        <v>42.867465969999998</v>
      </c>
      <c r="K67">
        <v>10.14015388</v>
      </c>
      <c r="L67">
        <v>10.14015388</v>
      </c>
      <c r="M67">
        <v>2.3165032860000001</v>
      </c>
      <c r="N67">
        <v>1</v>
      </c>
      <c r="O67">
        <v>2.3165032860000001</v>
      </c>
    </row>
    <row r="68" spans="1:15">
      <c r="A68">
        <v>-0.74753258700000003</v>
      </c>
      <c r="B68">
        <v>-0.80478303200000001</v>
      </c>
      <c r="C68">
        <v>-0.373766294</v>
      </c>
      <c r="D68">
        <v>-1.097732629</v>
      </c>
      <c r="E68">
        <v>5</v>
      </c>
      <c r="F68">
        <v>48</v>
      </c>
      <c r="G68">
        <v>10</v>
      </c>
      <c r="H68">
        <v>1</v>
      </c>
      <c r="I68">
        <v>1</v>
      </c>
      <c r="J68">
        <v>23.527208330000001</v>
      </c>
      <c r="K68">
        <v>16.114805220000001</v>
      </c>
      <c r="N68">
        <v>0</v>
      </c>
      <c r="O68">
        <v>0</v>
      </c>
    </row>
    <row r="69" spans="1:15">
      <c r="A69">
        <v>-6.6728806000000002E-2</v>
      </c>
      <c r="B69">
        <v>1.309864E-3</v>
      </c>
      <c r="C69">
        <v>-3.3364403000000001E-2</v>
      </c>
      <c r="D69">
        <v>-4.6011231E-2</v>
      </c>
      <c r="E69">
        <v>6</v>
      </c>
      <c r="F69">
        <v>41</v>
      </c>
      <c r="G69">
        <v>16</v>
      </c>
      <c r="H69">
        <v>1</v>
      </c>
      <c r="I69">
        <v>3</v>
      </c>
      <c r="J69">
        <v>47.847866060000001</v>
      </c>
      <c r="K69">
        <v>24.799627300000001</v>
      </c>
      <c r="L69">
        <v>24.799627300000001</v>
      </c>
      <c r="M69">
        <v>3.2108285429999999</v>
      </c>
      <c r="N69">
        <v>1</v>
      </c>
      <c r="O69">
        <v>3.2108285429999999</v>
      </c>
    </row>
    <row r="70" spans="1:15">
      <c r="A70">
        <v>0.201416594</v>
      </c>
      <c r="B70">
        <v>0.34377327499999999</v>
      </c>
      <c r="C70">
        <v>0.100708297</v>
      </c>
      <c r="D70">
        <v>0.385969795</v>
      </c>
      <c r="E70">
        <v>7</v>
      </c>
      <c r="F70">
        <v>44</v>
      </c>
      <c r="G70">
        <v>16</v>
      </c>
      <c r="H70">
        <v>1</v>
      </c>
      <c r="I70">
        <v>1</v>
      </c>
      <c r="J70">
        <v>44.231636049999999</v>
      </c>
      <c r="K70">
        <v>27.008499149999999</v>
      </c>
      <c r="L70">
        <v>27.008499149999999</v>
      </c>
      <c r="M70">
        <v>3.296151638</v>
      </c>
      <c r="N70">
        <v>1</v>
      </c>
      <c r="O70">
        <v>3.296151638</v>
      </c>
    </row>
    <row r="71" spans="1:15">
      <c r="A71">
        <v>-0.56315638199999996</v>
      </c>
      <c r="B71">
        <v>-1.1381732149999999</v>
      </c>
      <c r="C71">
        <v>-0.28157819099999998</v>
      </c>
      <c r="D71">
        <v>-1.204929122</v>
      </c>
      <c r="E71">
        <v>8</v>
      </c>
      <c r="F71">
        <v>44</v>
      </c>
      <c r="G71">
        <v>16</v>
      </c>
      <c r="H71">
        <v>1</v>
      </c>
      <c r="I71">
        <v>2</v>
      </c>
      <c r="J71">
        <v>30.140850069999999</v>
      </c>
      <c r="K71">
        <v>22.421062469999999</v>
      </c>
      <c r="L71">
        <v>22.421062469999999</v>
      </c>
      <c r="M71">
        <v>3.110000849</v>
      </c>
      <c r="N71">
        <v>1</v>
      </c>
      <c r="O71">
        <v>3.110000849</v>
      </c>
    </row>
    <row r="72" spans="1:15">
      <c r="A72">
        <v>-1.712701657</v>
      </c>
      <c r="B72">
        <v>0.38117539</v>
      </c>
      <c r="C72">
        <v>-0.85635082799999995</v>
      </c>
      <c r="D72">
        <v>-0.93398583000000002</v>
      </c>
      <c r="E72">
        <v>9</v>
      </c>
      <c r="F72">
        <v>43</v>
      </c>
      <c r="G72">
        <v>20</v>
      </c>
      <c r="H72">
        <v>1</v>
      </c>
      <c r="I72">
        <v>1</v>
      </c>
      <c r="J72">
        <v>30.99217033</v>
      </c>
      <c r="K72">
        <v>19.323789600000001</v>
      </c>
      <c r="L72">
        <v>19.323789600000001</v>
      </c>
      <c r="M72">
        <v>2.961336851</v>
      </c>
      <c r="N72">
        <v>1</v>
      </c>
      <c r="O72">
        <v>2.961336851</v>
      </c>
    </row>
    <row r="73" spans="1:15">
      <c r="A73">
        <v>-0.85803565800000003</v>
      </c>
      <c r="B73">
        <v>-1.4231594240000001</v>
      </c>
      <c r="C73">
        <v>-0.42901782900000002</v>
      </c>
      <c r="D73">
        <v>-1.6148745900000001</v>
      </c>
      <c r="E73">
        <v>0</v>
      </c>
      <c r="F73">
        <v>31</v>
      </c>
      <c r="G73">
        <v>10</v>
      </c>
      <c r="H73">
        <v>0</v>
      </c>
      <c r="I73">
        <v>0</v>
      </c>
      <c r="J73">
        <v>0.52150493899999995</v>
      </c>
      <c r="K73">
        <v>12.051786419999999</v>
      </c>
      <c r="N73">
        <v>0</v>
      </c>
      <c r="O73">
        <v>0</v>
      </c>
    </row>
    <row r="74" spans="1:15">
      <c r="A74">
        <v>1.0048611839999999</v>
      </c>
      <c r="B74">
        <v>-0.91871437300000003</v>
      </c>
      <c r="C74">
        <v>0.50243059199999995</v>
      </c>
      <c r="D74">
        <v>5.4073859000000002E-2</v>
      </c>
      <c r="E74">
        <v>1</v>
      </c>
      <c r="F74">
        <v>44</v>
      </c>
      <c r="G74">
        <v>10</v>
      </c>
      <c r="H74">
        <v>1</v>
      </c>
      <c r="I74">
        <v>1</v>
      </c>
      <c r="J74">
        <v>35.748886110000001</v>
      </c>
      <c r="K74">
        <v>25.829166409999999</v>
      </c>
      <c r="L74">
        <v>25.829166409999999</v>
      </c>
      <c r="M74">
        <v>3.2515044209999999</v>
      </c>
      <c r="N74">
        <v>1</v>
      </c>
      <c r="O74">
        <v>3.2515044209999999</v>
      </c>
    </row>
    <row r="75" spans="1:15">
      <c r="A75">
        <v>1.381460911</v>
      </c>
      <c r="B75">
        <v>1.21682074</v>
      </c>
      <c r="C75">
        <v>0.69073045600000005</v>
      </c>
      <c r="D75">
        <v>1.836470611</v>
      </c>
      <c r="E75">
        <v>2</v>
      </c>
      <c r="F75">
        <v>41</v>
      </c>
      <c r="G75">
        <v>16</v>
      </c>
      <c r="H75">
        <v>0</v>
      </c>
      <c r="I75">
        <v>4</v>
      </c>
      <c r="J75">
        <v>70.43764496</v>
      </c>
      <c r="K75">
        <v>33.488765720000004</v>
      </c>
      <c r="L75">
        <v>33.488765720000004</v>
      </c>
      <c r="M75">
        <v>3.5112099649999999</v>
      </c>
      <c r="N75">
        <v>1</v>
      </c>
      <c r="O75">
        <v>3.5112099649999999</v>
      </c>
    </row>
    <row r="76" spans="1:15">
      <c r="A76">
        <v>0.27293124899999999</v>
      </c>
      <c r="B76">
        <v>-0.29894237600000001</v>
      </c>
      <c r="C76">
        <v>0.13646562400000001</v>
      </c>
      <c r="D76">
        <v>-2.0422381999999999E-2</v>
      </c>
      <c r="E76">
        <v>3</v>
      </c>
      <c r="F76">
        <v>35</v>
      </c>
      <c r="G76">
        <v>12</v>
      </c>
      <c r="H76">
        <v>1</v>
      </c>
      <c r="I76">
        <v>4</v>
      </c>
      <c r="J76">
        <v>47.754932400000001</v>
      </c>
      <c r="K76">
        <v>21.637586590000002</v>
      </c>
      <c r="L76">
        <v>21.637586590000002</v>
      </c>
      <c r="M76">
        <v>3.0744318960000001</v>
      </c>
      <c r="N76">
        <v>1</v>
      </c>
      <c r="O76">
        <v>3.0744318960000001</v>
      </c>
    </row>
    <row r="77" spans="1:15">
      <c r="A77">
        <v>-0.256215474</v>
      </c>
      <c r="B77">
        <v>1.2737241930000001</v>
      </c>
      <c r="C77">
        <v>-0.128107737</v>
      </c>
      <c r="D77">
        <v>0.72484196999999995</v>
      </c>
      <c r="E77">
        <v>4</v>
      </c>
      <c r="F77">
        <v>31</v>
      </c>
      <c r="G77">
        <v>20</v>
      </c>
      <c r="H77">
        <v>0</v>
      </c>
      <c r="I77">
        <v>2</v>
      </c>
      <c r="J77">
        <v>46.098102570000002</v>
      </c>
      <c r="K77">
        <v>25.662706379999999</v>
      </c>
      <c r="L77">
        <v>25.662706379999999</v>
      </c>
      <c r="M77">
        <v>3.2450387479999998</v>
      </c>
      <c r="N77">
        <v>1</v>
      </c>
      <c r="O77">
        <v>3.2450387479999998</v>
      </c>
    </row>
    <row r="78" spans="1:15">
      <c r="A78">
        <v>2.5331794639999998</v>
      </c>
      <c r="B78">
        <v>0.71715562099999997</v>
      </c>
      <c r="C78">
        <v>1.2665897319999999</v>
      </c>
      <c r="D78">
        <v>2.2916228639999998</v>
      </c>
      <c r="E78">
        <v>5</v>
      </c>
      <c r="F78">
        <v>31</v>
      </c>
      <c r="G78">
        <v>12</v>
      </c>
      <c r="H78">
        <v>1</v>
      </c>
      <c r="I78">
        <v>0</v>
      </c>
      <c r="J78">
        <v>53.899475099999997</v>
      </c>
      <c r="K78">
        <v>34.399078369999998</v>
      </c>
      <c r="L78">
        <v>34.399078369999998</v>
      </c>
      <c r="M78">
        <v>3.5380296709999999</v>
      </c>
      <c r="N78">
        <v>1</v>
      </c>
      <c r="O78">
        <v>3.5380296709999999</v>
      </c>
    </row>
    <row r="79" spans="1:15">
      <c r="A79">
        <v>0.19324693400000001</v>
      </c>
      <c r="B79">
        <v>-2.352672857</v>
      </c>
      <c r="C79">
        <v>9.6623467000000005E-2</v>
      </c>
      <c r="D79">
        <v>-1.5358180640000001</v>
      </c>
      <c r="E79">
        <v>6</v>
      </c>
      <c r="F79">
        <v>34</v>
      </c>
      <c r="G79">
        <v>20</v>
      </c>
      <c r="H79">
        <v>1</v>
      </c>
      <c r="I79">
        <v>2</v>
      </c>
      <c r="J79">
        <v>25.170183179999999</v>
      </c>
      <c r="K79">
        <v>28.959482189999999</v>
      </c>
      <c r="N79">
        <v>0</v>
      </c>
      <c r="O79">
        <v>0</v>
      </c>
    </row>
    <row r="80" spans="1:15">
      <c r="A80">
        <v>-0.74452554800000004</v>
      </c>
      <c r="B80">
        <v>0.59339824500000005</v>
      </c>
      <c r="C80">
        <v>-0.37226277400000002</v>
      </c>
      <c r="D80">
        <v>-0.10209759</v>
      </c>
      <c r="E80">
        <v>7</v>
      </c>
      <c r="F80">
        <v>38</v>
      </c>
      <c r="G80">
        <v>16</v>
      </c>
      <c r="H80">
        <v>1</v>
      </c>
      <c r="I80">
        <v>5</v>
      </c>
      <c r="J80">
        <v>55.97483063</v>
      </c>
      <c r="K80">
        <v>20.132846829999998</v>
      </c>
      <c r="L80">
        <v>20.132846829999998</v>
      </c>
      <c r="M80">
        <v>3.0023527149999998</v>
      </c>
      <c r="N80">
        <v>1</v>
      </c>
      <c r="O80">
        <v>3.0023527149999998</v>
      </c>
    </row>
    <row r="81" spans="1:15">
      <c r="A81">
        <v>-0.39625580199999999</v>
      </c>
      <c r="B81">
        <v>-0.35615919000000001</v>
      </c>
      <c r="C81">
        <v>-0.198127901</v>
      </c>
      <c r="D81">
        <v>-0.53183533699999996</v>
      </c>
      <c r="E81">
        <v>8</v>
      </c>
      <c r="F81">
        <v>36</v>
      </c>
      <c r="G81">
        <v>16</v>
      </c>
      <c r="H81">
        <v>1</v>
      </c>
      <c r="I81">
        <v>5</v>
      </c>
      <c r="J81">
        <v>50.017974850000002</v>
      </c>
      <c r="K81">
        <v>21.822465900000001</v>
      </c>
      <c r="L81">
        <v>21.822465900000001</v>
      </c>
      <c r="M81">
        <v>3.0829401019999998</v>
      </c>
      <c r="N81">
        <v>1</v>
      </c>
      <c r="O81">
        <v>3.0829401019999998</v>
      </c>
    </row>
    <row r="82" spans="1:15">
      <c r="A82">
        <v>2.0305326990000001</v>
      </c>
      <c r="B82">
        <v>0.51556011700000004</v>
      </c>
      <c r="C82">
        <v>1.0152663500000001</v>
      </c>
      <c r="D82">
        <v>1.7947740940000001</v>
      </c>
      <c r="E82">
        <v>9</v>
      </c>
      <c r="F82">
        <v>42</v>
      </c>
      <c r="G82">
        <v>16</v>
      </c>
      <c r="H82">
        <v>1</v>
      </c>
      <c r="I82">
        <v>1</v>
      </c>
      <c r="J82">
        <v>60.3372879</v>
      </c>
      <c r="K82">
        <v>37.583194730000002</v>
      </c>
      <c r="L82">
        <v>37.583194730000002</v>
      </c>
      <c r="M82">
        <v>3.626557112</v>
      </c>
      <c r="N82">
        <v>1</v>
      </c>
      <c r="O82">
        <v>3.626557112</v>
      </c>
    </row>
    <row r="83" spans="1:15">
      <c r="A83">
        <v>1.459989787</v>
      </c>
      <c r="B83">
        <v>-1.990564072</v>
      </c>
      <c r="C83">
        <v>0.72999489399999995</v>
      </c>
      <c r="D83">
        <v>-0.38738987499999999</v>
      </c>
      <c r="E83">
        <v>0</v>
      </c>
      <c r="F83">
        <v>26</v>
      </c>
      <c r="G83">
        <v>10</v>
      </c>
      <c r="H83">
        <v>1</v>
      </c>
      <c r="I83">
        <v>3</v>
      </c>
      <c r="J83">
        <v>33.251319889999998</v>
      </c>
      <c r="K83">
        <v>24.959938050000002</v>
      </c>
      <c r="L83">
        <v>24.959938050000002</v>
      </c>
      <c r="M83">
        <v>3.2172720429999999</v>
      </c>
      <c r="N83">
        <v>1</v>
      </c>
      <c r="O83">
        <v>3.2172720429999999</v>
      </c>
    </row>
    <row r="84" spans="1:15">
      <c r="A84">
        <v>1.0719528439999999</v>
      </c>
      <c r="B84">
        <v>6.0152700000000003E-4</v>
      </c>
      <c r="C84">
        <v>0.53597642199999995</v>
      </c>
      <c r="D84">
        <v>0.75451861099999995</v>
      </c>
      <c r="E84">
        <v>1</v>
      </c>
      <c r="F84">
        <v>31</v>
      </c>
      <c r="G84">
        <v>12</v>
      </c>
      <c r="H84">
        <v>0</v>
      </c>
      <c r="I84">
        <v>3</v>
      </c>
      <c r="J84">
        <v>45.454223630000001</v>
      </c>
      <c r="K84">
        <v>25.631717680000001</v>
      </c>
      <c r="L84">
        <v>25.631717680000001</v>
      </c>
      <c r="M84">
        <v>3.2438304420000001</v>
      </c>
      <c r="N84">
        <v>1</v>
      </c>
      <c r="O84">
        <v>3.2438304420000001</v>
      </c>
    </row>
    <row r="85" spans="1:15">
      <c r="A85">
        <v>-2.6236845959999999</v>
      </c>
      <c r="B85">
        <v>0.67294339000000003</v>
      </c>
      <c r="C85">
        <v>-1.311842298</v>
      </c>
      <c r="D85">
        <v>-1.3675143240000001</v>
      </c>
      <c r="E85">
        <v>2</v>
      </c>
      <c r="F85">
        <v>30</v>
      </c>
      <c r="G85">
        <v>10</v>
      </c>
      <c r="H85">
        <v>0</v>
      </c>
      <c r="I85">
        <v>3</v>
      </c>
      <c r="J85">
        <v>18.089828489999999</v>
      </c>
      <c r="K85">
        <v>1.25789237</v>
      </c>
      <c r="N85">
        <v>0</v>
      </c>
      <c r="O85">
        <v>0</v>
      </c>
    </row>
    <row r="86" spans="1:15">
      <c r="A86">
        <v>-0.14694733700000001</v>
      </c>
      <c r="B86">
        <v>-1.496492323</v>
      </c>
      <c r="C86">
        <v>-7.3473668000000006E-2</v>
      </c>
      <c r="D86">
        <v>-1.1667511880000001</v>
      </c>
      <c r="E86">
        <v>3</v>
      </c>
      <c r="F86">
        <v>27</v>
      </c>
      <c r="G86">
        <v>16</v>
      </c>
      <c r="H86">
        <v>1</v>
      </c>
      <c r="I86">
        <v>3</v>
      </c>
      <c r="J86">
        <v>28.798986429999999</v>
      </c>
      <c r="K86">
        <v>21.51831627</v>
      </c>
      <c r="N86">
        <v>0</v>
      </c>
      <c r="O86">
        <v>0</v>
      </c>
    </row>
    <row r="87" spans="1:15">
      <c r="A87">
        <v>1.1357358129999999</v>
      </c>
      <c r="B87">
        <v>-0.143746021</v>
      </c>
      <c r="C87">
        <v>0.56786790600000003</v>
      </c>
      <c r="D87">
        <v>0.69681780299999996</v>
      </c>
      <c r="E87">
        <v>4</v>
      </c>
      <c r="F87">
        <v>30</v>
      </c>
      <c r="G87">
        <v>16</v>
      </c>
      <c r="H87">
        <v>1</v>
      </c>
      <c r="I87">
        <v>4</v>
      </c>
      <c r="J87">
        <v>57.36181259</v>
      </c>
      <c r="K87">
        <v>29.814414979999999</v>
      </c>
      <c r="L87">
        <v>29.814414979999999</v>
      </c>
      <c r="M87">
        <v>3.3949921129999998</v>
      </c>
      <c r="N87">
        <v>1</v>
      </c>
      <c r="O87">
        <v>3.3949921129999998</v>
      </c>
    </row>
    <row r="88" spans="1:15">
      <c r="A88">
        <v>-0.25766742100000001</v>
      </c>
      <c r="B88">
        <v>3.9266535999999998E-2</v>
      </c>
      <c r="C88">
        <v>-0.12883370999999999</v>
      </c>
      <c r="D88">
        <v>-0.15336037</v>
      </c>
      <c r="E88">
        <v>5</v>
      </c>
      <c r="F88">
        <v>32</v>
      </c>
      <c r="G88">
        <v>10</v>
      </c>
      <c r="H88">
        <v>1</v>
      </c>
      <c r="I88">
        <v>4</v>
      </c>
      <c r="J88">
        <v>43.459674839999998</v>
      </c>
      <c r="K88">
        <v>15.853995319999999</v>
      </c>
      <c r="L88">
        <v>15.853995319999999</v>
      </c>
      <c r="M88">
        <v>2.763421535</v>
      </c>
      <c r="N88">
        <v>1</v>
      </c>
      <c r="O88">
        <v>2.763421535</v>
      </c>
    </row>
    <row r="89" spans="1:15">
      <c r="A89">
        <v>-0.73386081299999995</v>
      </c>
      <c r="B89">
        <v>-0.32994015100000001</v>
      </c>
      <c r="C89">
        <v>-0.36693040700000001</v>
      </c>
      <c r="D89">
        <v>-0.75070102900000002</v>
      </c>
      <c r="E89">
        <v>6</v>
      </c>
      <c r="F89">
        <v>54</v>
      </c>
      <c r="G89">
        <v>12</v>
      </c>
      <c r="H89">
        <v>1</v>
      </c>
      <c r="I89">
        <v>1</v>
      </c>
      <c r="J89">
        <v>31.591587069999999</v>
      </c>
      <c r="K89">
        <v>19.396835329999998</v>
      </c>
      <c r="L89">
        <v>19.396835329999998</v>
      </c>
      <c r="M89">
        <v>2.9651098249999999</v>
      </c>
      <c r="N89">
        <v>1</v>
      </c>
      <c r="O89">
        <v>2.9651098249999999</v>
      </c>
    </row>
    <row r="90" spans="1:15">
      <c r="A90">
        <v>0.71192546400000001</v>
      </c>
      <c r="B90">
        <v>-0.52343506399999995</v>
      </c>
      <c r="C90">
        <v>0.355962732</v>
      </c>
      <c r="D90">
        <v>0.12887871000000001</v>
      </c>
      <c r="E90">
        <v>7</v>
      </c>
      <c r="F90">
        <v>35</v>
      </c>
      <c r="G90">
        <v>20</v>
      </c>
      <c r="H90">
        <v>1</v>
      </c>
      <c r="I90">
        <v>0</v>
      </c>
      <c r="J90">
        <v>35.546543120000003</v>
      </c>
      <c r="K90">
        <v>32.271553040000001</v>
      </c>
      <c r="L90">
        <v>32.271553040000001</v>
      </c>
      <c r="M90">
        <v>3.474186182</v>
      </c>
      <c r="N90">
        <v>1</v>
      </c>
      <c r="O90">
        <v>3.474186182</v>
      </c>
    </row>
    <row r="91" spans="1:15">
      <c r="A91">
        <v>-1.1429363239999999</v>
      </c>
      <c r="B91">
        <v>-0.27960079999999998</v>
      </c>
      <c r="C91">
        <v>-0.57146816199999995</v>
      </c>
      <c r="D91">
        <v>-1.0027049640000001</v>
      </c>
      <c r="E91">
        <v>8</v>
      </c>
      <c r="F91">
        <v>40</v>
      </c>
      <c r="G91">
        <v>12</v>
      </c>
      <c r="H91">
        <v>1</v>
      </c>
      <c r="I91">
        <v>4</v>
      </c>
      <c r="J91">
        <v>37.967540739999997</v>
      </c>
      <c r="K91">
        <v>14.142381670000001</v>
      </c>
      <c r="L91">
        <v>14.142381670000001</v>
      </c>
      <c r="M91">
        <v>2.649176121</v>
      </c>
      <c r="N91">
        <v>1</v>
      </c>
      <c r="O91">
        <v>2.649176121</v>
      </c>
    </row>
    <row r="92" spans="1:15">
      <c r="A92">
        <v>-7.8148863999999998E-2</v>
      </c>
      <c r="B92">
        <v>2.6752186500000001</v>
      </c>
      <c r="C92">
        <v>-3.9074431999999999E-2</v>
      </c>
      <c r="D92">
        <v>1.845981179</v>
      </c>
      <c r="E92">
        <v>9</v>
      </c>
      <c r="F92">
        <v>43</v>
      </c>
      <c r="G92">
        <v>16</v>
      </c>
      <c r="H92">
        <v>1</v>
      </c>
      <c r="I92">
        <v>0</v>
      </c>
      <c r="J92">
        <v>56.351772310000001</v>
      </c>
      <c r="K92">
        <v>25.131107329999999</v>
      </c>
      <c r="L92">
        <v>25.131107329999999</v>
      </c>
      <c r="M92">
        <v>3.224106312</v>
      </c>
      <c r="N92">
        <v>1</v>
      </c>
      <c r="O92">
        <v>3.224106312</v>
      </c>
    </row>
    <row r="93" spans="1:15">
      <c r="A93">
        <v>2.1398750980000001</v>
      </c>
      <c r="B93">
        <v>0.123788694</v>
      </c>
      <c r="C93">
        <v>1.069937549</v>
      </c>
      <c r="D93">
        <v>1.5933087109999999</v>
      </c>
      <c r="E93">
        <v>0</v>
      </c>
      <c r="F93">
        <v>34</v>
      </c>
      <c r="G93">
        <v>10</v>
      </c>
      <c r="H93">
        <v>0</v>
      </c>
      <c r="I93">
        <v>2</v>
      </c>
      <c r="J93">
        <v>50.219703670000001</v>
      </c>
      <c r="K93">
        <v>30.639249800000002</v>
      </c>
      <c r="L93">
        <v>30.639249800000002</v>
      </c>
      <c r="M93">
        <v>3.422281742</v>
      </c>
      <c r="N93">
        <v>1</v>
      </c>
      <c r="O93">
        <v>3.422281742</v>
      </c>
    </row>
    <row r="94" spans="1:15">
      <c r="A94">
        <v>-9.7939139999999994E-2</v>
      </c>
      <c r="B94">
        <v>0.53585718500000001</v>
      </c>
      <c r="C94">
        <v>-4.8969569999999997E-2</v>
      </c>
      <c r="D94">
        <v>0.31187174299999998</v>
      </c>
      <c r="E94">
        <v>1</v>
      </c>
      <c r="F94">
        <v>23</v>
      </c>
      <c r="G94">
        <v>16</v>
      </c>
      <c r="H94">
        <v>1</v>
      </c>
      <c r="I94">
        <v>0</v>
      </c>
      <c r="J94">
        <v>29.942461009999999</v>
      </c>
      <c r="K94">
        <v>21.012365339999999</v>
      </c>
      <c r="L94">
        <v>21.012365339999999</v>
      </c>
      <c r="M94">
        <v>3.0451111790000001</v>
      </c>
      <c r="N94">
        <v>1</v>
      </c>
      <c r="O94">
        <v>3.0451111790000001</v>
      </c>
    </row>
    <row r="95" spans="1:15">
      <c r="A95">
        <v>-1.5416300999999999</v>
      </c>
      <c r="B95">
        <v>0.88997363900000004</v>
      </c>
      <c r="C95">
        <v>-0.77081504999999995</v>
      </c>
      <c r="D95">
        <v>-0.45209953800000002</v>
      </c>
      <c r="E95">
        <v>2</v>
      </c>
      <c r="F95">
        <v>29</v>
      </c>
      <c r="G95">
        <v>12</v>
      </c>
      <c r="H95">
        <v>1</v>
      </c>
      <c r="I95">
        <v>3</v>
      </c>
      <c r="J95">
        <v>35.174804690000002</v>
      </c>
      <c r="K95">
        <v>9.5502195360000002</v>
      </c>
      <c r="L95">
        <v>9.5502195360000002</v>
      </c>
      <c r="M95">
        <v>2.2565641400000001</v>
      </c>
      <c r="N95">
        <v>1</v>
      </c>
      <c r="O95">
        <v>2.2565641400000001</v>
      </c>
    </row>
    <row r="96" spans="1:15">
      <c r="A96">
        <v>0.59269462100000003</v>
      </c>
      <c r="B96">
        <v>3.788292E-3</v>
      </c>
      <c r="C96">
        <v>0.296347311</v>
      </c>
      <c r="D96">
        <v>0.41963726400000001</v>
      </c>
      <c r="E96">
        <v>3</v>
      </c>
      <c r="F96">
        <v>26</v>
      </c>
      <c r="G96">
        <v>10</v>
      </c>
      <c r="H96">
        <v>1</v>
      </c>
      <c r="I96">
        <v>1</v>
      </c>
      <c r="J96">
        <v>32.935646060000003</v>
      </c>
      <c r="K96">
        <v>19.756168370000001</v>
      </c>
      <c r="L96">
        <v>19.756168370000001</v>
      </c>
      <c r="M96">
        <v>2.9834656719999999</v>
      </c>
      <c r="N96">
        <v>1</v>
      </c>
      <c r="O96">
        <v>2.9834656719999999</v>
      </c>
    </row>
    <row r="97" spans="1:15">
      <c r="A97">
        <v>1.1706669750000001</v>
      </c>
      <c r="B97">
        <v>-1.2097101589999999</v>
      </c>
      <c r="C97">
        <v>0.58533348699999999</v>
      </c>
      <c r="D97">
        <v>-3.6061832000000002E-2</v>
      </c>
      <c r="E97">
        <v>4</v>
      </c>
      <c r="F97">
        <v>34</v>
      </c>
      <c r="G97">
        <v>16</v>
      </c>
      <c r="H97">
        <v>1</v>
      </c>
      <c r="I97">
        <v>0</v>
      </c>
      <c r="J97">
        <v>30.16725731</v>
      </c>
      <c r="K97">
        <v>30.82400131</v>
      </c>
      <c r="L97">
        <v>30.82400131</v>
      </c>
      <c r="M97">
        <v>3.4282937050000002</v>
      </c>
      <c r="N97">
        <v>1</v>
      </c>
      <c r="O97">
        <v>3.4282937050000002</v>
      </c>
    </row>
    <row r="98" spans="1:15">
      <c r="A98">
        <v>-0.70712891</v>
      </c>
      <c r="B98">
        <v>0.46423589100000001</v>
      </c>
      <c r="C98">
        <v>-0.353564455</v>
      </c>
      <c r="D98">
        <v>-0.167570207</v>
      </c>
      <c r="E98">
        <v>5</v>
      </c>
      <c r="F98">
        <v>35</v>
      </c>
      <c r="G98">
        <v>16</v>
      </c>
      <c r="H98">
        <v>0</v>
      </c>
      <c r="I98">
        <v>4</v>
      </c>
      <c r="J98">
        <v>43.989158629999999</v>
      </c>
      <c r="K98">
        <v>19.757226939999999</v>
      </c>
      <c r="L98">
        <v>19.757226939999999</v>
      </c>
      <c r="M98">
        <v>2.9835193160000002</v>
      </c>
      <c r="N98">
        <v>1</v>
      </c>
      <c r="O98">
        <v>2.9835193160000002</v>
      </c>
    </row>
    <row r="99" spans="1:15">
      <c r="A99">
        <v>-1.5412564040000001</v>
      </c>
      <c r="B99">
        <v>1.6136142920000001</v>
      </c>
      <c r="C99">
        <v>-0.77062820200000004</v>
      </c>
      <c r="D99">
        <v>6.2367928000000003E-2</v>
      </c>
      <c r="E99">
        <v>6</v>
      </c>
      <c r="F99">
        <v>39</v>
      </c>
      <c r="G99">
        <v>12</v>
      </c>
      <c r="H99">
        <v>1</v>
      </c>
      <c r="I99">
        <v>0</v>
      </c>
      <c r="J99">
        <v>30.348415370000001</v>
      </c>
      <c r="K99">
        <v>11.552461620000001</v>
      </c>
      <c r="L99">
        <v>11.552461620000001</v>
      </c>
      <c r="M99">
        <v>2.4468984599999999</v>
      </c>
      <c r="N99">
        <v>1</v>
      </c>
      <c r="O99">
        <v>2.4468984599999999</v>
      </c>
    </row>
    <row r="100" spans="1:15">
      <c r="A100">
        <v>-0.231818089</v>
      </c>
      <c r="B100">
        <v>-0.63362502300000001</v>
      </c>
      <c r="C100">
        <v>-0.115909044</v>
      </c>
      <c r="D100">
        <v>-0.61331932099999997</v>
      </c>
      <c r="E100">
        <v>7</v>
      </c>
      <c r="F100">
        <v>43</v>
      </c>
      <c r="G100">
        <v>16</v>
      </c>
      <c r="H100">
        <v>1</v>
      </c>
      <c r="I100">
        <v>1</v>
      </c>
      <c r="J100">
        <v>31.840167999999998</v>
      </c>
      <c r="K100">
        <v>24.209091189999999</v>
      </c>
      <c r="L100">
        <v>24.209091189999999</v>
      </c>
      <c r="M100">
        <v>3.1867282389999998</v>
      </c>
      <c r="N100">
        <v>1</v>
      </c>
      <c r="O100">
        <v>3.1867282389999998</v>
      </c>
    </row>
    <row r="101" spans="1:15">
      <c r="A101">
        <v>-1.5633149529999999</v>
      </c>
      <c r="B101">
        <v>0.90639018800000004</v>
      </c>
      <c r="C101">
        <v>-0.78165747699999999</v>
      </c>
      <c r="D101">
        <v>-0.45568900200000001</v>
      </c>
      <c r="E101">
        <v>8</v>
      </c>
      <c r="F101">
        <v>36</v>
      </c>
      <c r="G101">
        <v>12</v>
      </c>
      <c r="H101">
        <v>1</v>
      </c>
      <c r="I101">
        <v>1</v>
      </c>
      <c r="J101">
        <v>27.931732180000001</v>
      </c>
      <c r="K101">
        <v>10.82011032</v>
      </c>
      <c r="N101">
        <v>0</v>
      </c>
      <c r="O101">
        <v>0</v>
      </c>
    </row>
    <row r="102" spans="1:15">
      <c r="A102">
        <v>1.8050634780000001</v>
      </c>
      <c r="B102">
        <v>0.21775879400000001</v>
      </c>
      <c r="C102">
        <v>0.90253173900000006</v>
      </c>
      <c r="D102">
        <v>1.4245506459999999</v>
      </c>
      <c r="E102">
        <v>9</v>
      </c>
      <c r="F102">
        <v>46</v>
      </c>
      <c r="G102">
        <v>12</v>
      </c>
      <c r="H102">
        <v>1</v>
      </c>
      <c r="I102">
        <v>1</v>
      </c>
      <c r="J102">
        <v>54.494606019999999</v>
      </c>
      <c r="K102">
        <v>33.03038025</v>
      </c>
      <c r="L102">
        <v>33.03038025</v>
      </c>
      <c r="M102">
        <v>3.497427702</v>
      </c>
      <c r="N102">
        <v>1</v>
      </c>
      <c r="O102">
        <v>3.497427702</v>
      </c>
    </row>
    <row r="103" spans="1:15">
      <c r="A103">
        <v>0.84619288100000001</v>
      </c>
      <c r="B103">
        <v>-1.95011731</v>
      </c>
      <c r="C103">
        <v>0.42309644099999999</v>
      </c>
      <c r="D103">
        <v>-0.79043950699999999</v>
      </c>
      <c r="E103">
        <v>0</v>
      </c>
      <c r="F103">
        <v>35</v>
      </c>
      <c r="G103">
        <v>10</v>
      </c>
      <c r="H103">
        <v>0</v>
      </c>
      <c r="I103">
        <v>2</v>
      </c>
      <c r="J103">
        <v>22.014726639999999</v>
      </c>
      <c r="K103">
        <v>23.077157969999998</v>
      </c>
      <c r="N103">
        <v>0</v>
      </c>
      <c r="O103">
        <v>0</v>
      </c>
    </row>
    <row r="104" spans="1:15">
      <c r="A104">
        <v>-1.968915854</v>
      </c>
      <c r="B104">
        <v>0.229658693</v>
      </c>
      <c r="C104">
        <v>-0.98445792700000001</v>
      </c>
      <c r="D104">
        <v>-1.221890645</v>
      </c>
      <c r="E104">
        <v>1</v>
      </c>
      <c r="F104">
        <v>45</v>
      </c>
      <c r="G104">
        <v>10</v>
      </c>
      <c r="H104">
        <v>0</v>
      </c>
      <c r="I104">
        <v>0</v>
      </c>
      <c r="J104">
        <v>10.8373127</v>
      </c>
      <c r="K104">
        <v>8.186505318</v>
      </c>
      <c r="N104">
        <v>0</v>
      </c>
      <c r="O104">
        <v>0</v>
      </c>
    </row>
    <row r="105" spans="1:15">
      <c r="A105">
        <v>1.6485932590000001</v>
      </c>
      <c r="B105">
        <v>0.76985396900000003</v>
      </c>
      <c r="C105">
        <v>0.824296629</v>
      </c>
      <c r="D105">
        <v>1.7067856770000001</v>
      </c>
      <c r="E105">
        <v>2</v>
      </c>
      <c r="F105">
        <v>52</v>
      </c>
      <c r="G105">
        <v>16</v>
      </c>
      <c r="H105">
        <v>0</v>
      </c>
      <c r="I105">
        <v>1</v>
      </c>
      <c r="J105">
        <v>58.281429289999998</v>
      </c>
      <c r="K105">
        <v>37.291561129999998</v>
      </c>
      <c r="L105">
        <v>37.291561129999998</v>
      </c>
      <c r="M105">
        <v>3.6187670230000002</v>
      </c>
      <c r="N105">
        <v>1</v>
      </c>
      <c r="O105">
        <v>3.6187670230000002</v>
      </c>
    </row>
    <row r="106" spans="1:15">
      <c r="A106">
        <v>0.76357263500000006</v>
      </c>
      <c r="B106">
        <v>-1.2177631289999999</v>
      </c>
      <c r="C106">
        <v>0.38178631800000001</v>
      </c>
      <c r="D106">
        <v>-0.32816447900000001</v>
      </c>
      <c r="E106">
        <v>3</v>
      </c>
      <c r="F106">
        <v>39</v>
      </c>
      <c r="G106">
        <v>10</v>
      </c>
      <c r="H106">
        <v>1</v>
      </c>
      <c r="I106">
        <v>0</v>
      </c>
      <c r="J106">
        <v>24.162025450000002</v>
      </c>
      <c r="K106">
        <v>23.38143539</v>
      </c>
      <c r="N106">
        <v>0</v>
      </c>
      <c r="O106">
        <v>0</v>
      </c>
    </row>
    <row r="107" spans="1:15">
      <c r="A107">
        <v>-0.974219328</v>
      </c>
      <c r="B107">
        <v>0.22839363100000001</v>
      </c>
      <c r="C107">
        <v>-0.487109664</v>
      </c>
      <c r="D107">
        <v>-0.52304622199999995</v>
      </c>
      <c r="E107">
        <v>4</v>
      </c>
      <c r="F107">
        <v>42</v>
      </c>
      <c r="G107">
        <v>20</v>
      </c>
      <c r="H107">
        <v>1</v>
      </c>
      <c r="I107">
        <v>0</v>
      </c>
      <c r="J107">
        <v>30.523445129999999</v>
      </c>
      <c r="K107">
        <v>23.554683690000001</v>
      </c>
      <c r="L107">
        <v>23.554683690000001</v>
      </c>
      <c r="M107">
        <v>3.159324646</v>
      </c>
      <c r="N107">
        <v>1</v>
      </c>
      <c r="O107">
        <v>3.159324646</v>
      </c>
    </row>
    <row r="108" spans="1:15">
      <c r="A108">
        <v>1.2405148580000001</v>
      </c>
      <c r="B108">
        <v>-1.0257766070000001</v>
      </c>
      <c r="C108">
        <v>0.62025742900000003</v>
      </c>
      <c r="D108">
        <v>0.143773857</v>
      </c>
      <c r="E108">
        <v>5</v>
      </c>
      <c r="F108">
        <v>31</v>
      </c>
      <c r="G108">
        <v>10</v>
      </c>
      <c r="H108">
        <v>1</v>
      </c>
      <c r="I108">
        <v>3</v>
      </c>
      <c r="J108">
        <v>41.625286099999997</v>
      </c>
      <c r="K108">
        <v>24.643089289999999</v>
      </c>
      <c r="L108">
        <v>24.643089289999999</v>
      </c>
      <c r="M108">
        <v>3.2044966220000002</v>
      </c>
      <c r="N108">
        <v>1</v>
      </c>
      <c r="O108">
        <v>3.2044966220000002</v>
      </c>
    </row>
    <row r="109" spans="1:15">
      <c r="A109">
        <v>0.15029905800000001</v>
      </c>
      <c r="B109">
        <v>-0.68091964400000005</v>
      </c>
      <c r="C109">
        <v>7.5149529000000007E-2</v>
      </c>
      <c r="D109">
        <v>-0.37811637599999998</v>
      </c>
      <c r="E109">
        <v>6</v>
      </c>
      <c r="F109">
        <v>57</v>
      </c>
      <c r="G109">
        <v>16</v>
      </c>
      <c r="H109">
        <v>1</v>
      </c>
      <c r="I109">
        <v>2</v>
      </c>
      <c r="J109">
        <v>45.262603759999998</v>
      </c>
      <c r="K109">
        <v>29.301794050000002</v>
      </c>
      <c r="L109">
        <v>29.301794050000002</v>
      </c>
      <c r="M109">
        <v>3.37764883</v>
      </c>
      <c r="N109">
        <v>1</v>
      </c>
      <c r="O109">
        <v>3.37764883</v>
      </c>
    </row>
    <row r="110" spans="1:15">
      <c r="A110">
        <v>-0.94662968599999997</v>
      </c>
      <c r="B110">
        <v>0.55849384300000005</v>
      </c>
      <c r="C110">
        <v>-0.47331484299999999</v>
      </c>
      <c r="D110">
        <v>-0.26907500899999998</v>
      </c>
      <c r="E110">
        <v>7</v>
      </c>
      <c r="F110">
        <v>35</v>
      </c>
      <c r="G110">
        <v>16</v>
      </c>
      <c r="H110">
        <v>1</v>
      </c>
      <c r="I110">
        <v>0</v>
      </c>
      <c r="J110">
        <v>27.77109909</v>
      </c>
      <c r="K110">
        <v>18.32022095</v>
      </c>
      <c r="N110">
        <v>0</v>
      </c>
      <c r="O110">
        <v>0</v>
      </c>
    </row>
    <row r="111" spans="1:15">
      <c r="A111">
        <v>-0.52823572900000004</v>
      </c>
      <c r="B111">
        <v>-0.91721947800000003</v>
      </c>
      <c r="C111">
        <v>-0.26411786399999998</v>
      </c>
      <c r="D111">
        <v>-1.023358035</v>
      </c>
      <c r="E111">
        <v>8</v>
      </c>
      <c r="F111">
        <v>36</v>
      </c>
      <c r="G111">
        <v>16</v>
      </c>
      <c r="H111">
        <v>1</v>
      </c>
      <c r="I111">
        <v>1</v>
      </c>
      <c r="J111">
        <v>24.11970329</v>
      </c>
      <c r="K111">
        <v>21.030586240000002</v>
      </c>
      <c r="N111">
        <v>0</v>
      </c>
      <c r="O111">
        <v>0</v>
      </c>
    </row>
    <row r="112" spans="1:15">
      <c r="A112">
        <v>0.35993180200000002</v>
      </c>
      <c r="B112">
        <v>-0.91127287199999996</v>
      </c>
      <c r="C112">
        <v>0.17996590100000001</v>
      </c>
      <c r="D112">
        <v>-0.394329545</v>
      </c>
      <c r="E112">
        <v>9</v>
      </c>
      <c r="F112">
        <v>48</v>
      </c>
      <c r="G112">
        <v>16</v>
      </c>
      <c r="H112">
        <v>1</v>
      </c>
      <c r="I112">
        <v>1</v>
      </c>
      <c r="J112">
        <v>36.468044280000001</v>
      </c>
      <c r="K112">
        <v>28.759590150000001</v>
      </c>
      <c r="L112">
        <v>28.759590150000001</v>
      </c>
      <c r="M112">
        <v>3.3589713570000002</v>
      </c>
      <c r="N112">
        <v>1</v>
      </c>
      <c r="O112">
        <v>3.3589713570000002</v>
      </c>
    </row>
    <row r="113" spans="1:15">
      <c r="A113">
        <v>-0.225764306</v>
      </c>
      <c r="B113">
        <v>-0.48272793200000003</v>
      </c>
      <c r="C113">
        <v>-0.112882153</v>
      </c>
      <c r="D113">
        <v>-0.50183618399999996</v>
      </c>
      <c r="E113">
        <v>0</v>
      </c>
      <c r="F113">
        <v>23</v>
      </c>
      <c r="G113">
        <v>10</v>
      </c>
      <c r="H113">
        <v>0</v>
      </c>
      <c r="I113">
        <v>0</v>
      </c>
      <c r="J113">
        <v>10.677966120000001</v>
      </c>
      <c r="K113">
        <v>14.24541378</v>
      </c>
      <c r="N113">
        <v>0</v>
      </c>
      <c r="O113">
        <v>0</v>
      </c>
    </row>
    <row r="114" spans="1:15">
      <c r="A114">
        <v>1.7845218570000001</v>
      </c>
      <c r="B114">
        <v>-4.4728239000000003E-2</v>
      </c>
      <c r="C114">
        <v>0.89226092800000001</v>
      </c>
      <c r="D114">
        <v>1.2235821069999999</v>
      </c>
      <c r="E114">
        <v>1</v>
      </c>
      <c r="F114">
        <v>22</v>
      </c>
      <c r="G114">
        <v>10</v>
      </c>
      <c r="H114">
        <v>1</v>
      </c>
      <c r="I114">
        <v>0</v>
      </c>
      <c r="J114">
        <v>35.982986449999999</v>
      </c>
      <c r="K114">
        <v>26.10713196</v>
      </c>
      <c r="L114">
        <v>26.10713196</v>
      </c>
      <c r="M114">
        <v>3.2622084619999998</v>
      </c>
      <c r="N114">
        <v>1</v>
      </c>
      <c r="O114">
        <v>3.2622084619999998</v>
      </c>
    </row>
    <row r="115" spans="1:15">
      <c r="A115">
        <v>-0.79641253999999995</v>
      </c>
      <c r="B115">
        <v>0.69823448300000002</v>
      </c>
      <c r="C115">
        <v>-0.39820626999999997</v>
      </c>
      <c r="D115">
        <v>-6.4104216000000006E-2</v>
      </c>
      <c r="E115">
        <v>2</v>
      </c>
      <c r="F115">
        <v>25</v>
      </c>
      <c r="G115">
        <v>10</v>
      </c>
      <c r="H115">
        <v>0</v>
      </c>
      <c r="I115">
        <v>4</v>
      </c>
      <c r="J115">
        <v>36.730751040000001</v>
      </c>
      <c r="K115">
        <v>11.221525189999999</v>
      </c>
      <c r="L115">
        <v>11.221525189999999</v>
      </c>
      <c r="M115">
        <v>2.4178338049999999</v>
      </c>
      <c r="N115">
        <v>1</v>
      </c>
      <c r="O115">
        <v>2.4178338049999999</v>
      </c>
    </row>
    <row r="116" spans="1:15">
      <c r="A116">
        <v>-9.4308540000000007E-3</v>
      </c>
      <c r="B116">
        <v>0.40385853500000002</v>
      </c>
      <c r="C116">
        <v>-4.7154270000000003E-3</v>
      </c>
      <c r="D116">
        <v>0.28033943900000002</v>
      </c>
      <c r="E116">
        <v>3</v>
      </c>
      <c r="F116">
        <v>28</v>
      </c>
      <c r="G116">
        <v>12</v>
      </c>
      <c r="H116">
        <v>1</v>
      </c>
      <c r="I116">
        <v>0</v>
      </c>
      <c r="J116">
        <v>28.564073560000001</v>
      </c>
      <c r="K116">
        <v>18.543415070000002</v>
      </c>
      <c r="N116">
        <v>0</v>
      </c>
      <c r="O116">
        <v>0</v>
      </c>
    </row>
    <row r="117" spans="1:15">
      <c r="A117">
        <v>0.22574597800000001</v>
      </c>
      <c r="B117">
        <v>0.43897755799999999</v>
      </c>
      <c r="C117">
        <v>0.11287298900000001</v>
      </c>
      <c r="D117">
        <v>0.47073514999999999</v>
      </c>
      <c r="E117">
        <v>4</v>
      </c>
      <c r="F117">
        <v>31</v>
      </c>
      <c r="G117">
        <v>10</v>
      </c>
      <c r="H117">
        <v>0</v>
      </c>
      <c r="I117">
        <v>3</v>
      </c>
      <c r="J117">
        <v>40.548820499999998</v>
      </c>
      <c r="K117">
        <v>18.554475780000001</v>
      </c>
      <c r="L117">
        <v>18.554475780000001</v>
      </c>
      <c r="M117">
        <v>2.92071104</v>
      </c>
      <c r="N117">
        <v>1</v>
      </c>
      <c r="O117">
        <v>2.92071104</v>
      </c>
    </row>
    <row r="118" spans="1:15">
      <c r="A118">
        <v>-0.18110651699999999</v>
      </c>
      <c r="B118">
        <v>-0.46982759699999999</v>
      </c>
      <c r="C118">
        <v>-9.0553257999999998E-2</v>
      </c>
      <c r="D118">
        <v>-0.46125386099999999</v>
      </c>
      <c r="E118">
        <v>5</v>
      </c>
      <c r="F118">
        <v>32</v>
      </c>
      <c r="G118">
        <v>10</v>
      </c>
      <c r="H118">
        <v>1</v>
      </c>
      <c r="I118">
        <v>0</v>
      </c>
      <c r="J118">
        <v>19.764953609999999</v>
      </c>
      <c r="K118">
        <v>16.313360209999999</v>
      </c>
      <c r="N118">
        <v>0</v>
      </c>
      <c r="O118">
        <v>0</v>
      </c>
    </row>
    <row r="119" spans="1:15">
      <c r="A119">
        <v>-0.186154978</v>
      </c>
      <c r="B119">
        <v>-1.73174896</v>
      </c>
      <c r="C119">
        <v>-9.3077488999999999E-2</v>
      </c>
      <c r="D119">
        <v>-1.361501415</v>
      </c>
      <c r="E119">
        <v>6</v>
      </c>
      <c r="F119">
        <v>39</v>
      </c>
      <c r="G119">
        <v>12</v>
      </c>
      <c r="H119">
        <v>1</v>
      </c>
      <c r="I119">
        <v>5</v>
      </c>
      <c r="J119">
        <v>38.26198196</v>
      </c>
      <c r="K119">
        <v>19.683069230000001</v>
      </c>
      <c r="L119">
        <v>19.683069230000001</v>
      </c>
      <c r="M119">
        <v>2.9797587390000002</v>
      </c>
      <c r="N119">
        <v>1</v>
      </c>
      <c r="O119">
        <v>2.9797587390000002</v>
      </c>
    </row>
    <row r="120" spans="1:15">
      <c r="A120">
        <v>-1.1756176739999999</v>
      </c>
      <c r="B120">
        <v>0.82460551000000004</v>
      </c>
      <c r="C120">
        <v>-0.58780883699999997</v>
      </c>
      <c r="D120">
        <v>-0.24106852200000001</v>
      </c>
      <c r="E120">
        <v>7</v>
      </c>
      <c r="F120">
        <v>35</v>
      </c>
      <c r="G120">
        <v>20</v>
      </c>
      <c r="H120">
        <v>1</v>
      </c>
      <c r="I120">
        <v>0</v>
      </c>
      <c r="J120">
        <v>31.10717773</v>
      </c>
      <c r="K120">
        <v>20.946294779999999</v>
      </c>
      <c r="L120">
        <v>20.946294779999999</v>
      </c>
      <c r="M120">
        <v>3.0419616700000001</v>
      </c>
      <c r="N120">
        <v>1</v>
      </c>
      <c r="O120">
        <v>3.0419616700000001</v>
      </c>
    </row>
    <row r="121" spans="1:15">
      <c r="A121">
        <v>-1.8270324819999999</v>
      </c>
      <c r="B121">
        <v>1.3026318400000001</v>
      </c>
      <c r="C121">
        <v>-0.91351624099999995</v>
      </c>
      <c r="D121">
        <v>-0.359646085</v>
      </c>
      <c r="E121">
        <v>8</v>
      </c>
      <c r="F121">
        <v>36</v>
      </c>
      <c r="G121">
        <v>16</v>
      </c>
      <c r="H121">
        <v>1</v>
      </c>
      <c r="I121">
        <v>5</v>
      </c>
      <c r="J121">
        <v>52.084247589999997</v>
      </c>
      <c r="K121">
        <v>13.23780537</v>
      </c>
      <c r="L121">
        <v>13.23780537</v>
      </c>
      <c r="M121">
        <v>2.5830767149999998</v>
      </c>
      <c r="N121">
        <v>1</v>
      </c>
      <c r="O121">
        <v>2.5830767149999998</v>
      </c>
    </row>
    <row r="122" spans="1:15">
      <c r="A122">
        <v>1.224137848</v>
      </c>
      <c r="B122">
        <v>0.68287909300000005</v>
      </c>
      <c r="C122">
        <v>0.61206892400000001</v>
      </c>
      <c r="D122">
        <v>1.3463896339999999</v>
      </c>
      <c r="E122">
        <v>9</v>
      </c>
      <c r="F122">
        <v>50</v>
      </c>
      <c r="G122">
        <v>12</v>
      </c>
      <c r="H122">
        <v>1</v>
      </c>
      <c r="I122">
        <v>4</v>
      </c>
      <c r="J122">
        <v>70.156677250000001</v>
      </c>
      <c r="K122">
        <v>30.344827649999999</v>
      </c>
      <c r="L122">
        <v>30.344827649999999</v>
      </c>
      <c r="M122">
        <v>3.412626028</v>
      </c>
      <c r="N122">
        <v>1</v>
      </c>
      <c r="O122">
        <v>3.412626028</v>
      </c>
    </row>
    <row r="123" spans="1:15">
      <c r="A123">
        <v>-0.16507667000000001</v>
      </c>
      <c r="B123">
        <v>-1.41113545</v>
      </c>
      <c r="C123">
        <v>-8.2538335000000004E-2</v>
      </c>
      <c r="D123">
        <v>-1.1188518190000001</v>
      </c>
      <c r="E123">
        <v>0</v>
      </c>
      <c r="F123">
        <v>21</v>
      </c>
      <c r="G123">
        <v>10</v>
      </c>
      <c r="H123">
        <v>0</v>
      </c>
      <c r="I123">
        <v>0</v>
      </c>
      <c r="J123">
        <v>2.4737782479999999</v>
      </c>
      <c r="K123">
        <v>14.209540369999999</v>
      </c>
      <c r="N123">
        <v>0</v>
      </c>
      <c r="O123">
        <v>0</v>
      </c>
    </row>
    <row r="124" spans="1:15">
      <c r="A124">
        <v>4.8469750999999998E-2</v>
      </c>
      <c r="B124">
        <v>0.29407512200000002</v>
      </c>
      <c r="C124">
        <v>2.4234874999999999E-2</v>
      </c>
      <c r="D124">
        <v>0.24306112199999999</v>
      </c>
      <c r="E124">
        <v>1</v>
      </c>
      <c r="F124">
        <v>49</v>
      </c>
      <c r="G124">
        <v>10</v>
      </c>
      <c r="H124">
        <v>1</v>
      </c>
      <c r="I124">
        <v>4</v>
      </c>
      <c r="J124">
        <v>55.016735079999997</v>
      </c>
      <c r="K124">
        <v>21.090818410000001</v>
      </c>
      <c r="L124">
        <v>21.090818410000001</v>
      </c>
      <c r="M124">
        <v>3.0488379000000001</v>
      </c>
      <c r="N124">
        <v>1</v>
      </c>
      <c r="O124">
        <v>3.0488379000000001</v>
      </c>
    </row>
    <row r="125" spans="1:15">
      <c r="A125">
        <v>-0.93067025000000003</v>
      </c>
      <c r="B125">
        <v>-0.275599977</v>
      </c>
      <c r="C125">
        <v>-0.46533512500000002</v>
      </c>
      <c r="D125">
        <v>-0.85053835099999997</v>
      </c>
      <c r="E125">
        <v>2</v>
      </c>
      <c r="F125">
        <v>24</v>
      </c>
      <c r="G125">
        <v>12</v>
      </c>
      <c r="H125">
        <v>0</v>
      </c>
      <c r="I125">
        <v>0</v>
      </c>
      <c r="J125">
        <v>8.3935394290000005</v>
      </c>
      <c r="K125">
        <v>12.21597862</v>
      </c>
      <c r="N125">
        <v>0</v>
      </c>
      <c r="O125">
        <v>0</v>
      </c>
    </row>
    <row r="126" spans="1:15">
      <c r="A126">
        <v>0.22043164800000001</v>
      </c>
      <c r="B126">
        <v>1.1993239849999999</v>
      </c>
      <c r="C126">
        <v>0.110215824</v>
      </c>
      <c r="D126">
        <v>1.007283626</v>
      </c>
      <c r="E126">
        <v>3</v>
      </c>
      <c r="F126">
        <v>27</v>
      </c>
      <c r="G126">
        <v>20</v>
      </c>
      <c r="H126">
        <v>0</v>
      </c>
      <c r="I126">
        <v>2</v>
      </c>
      <c r="J126">
        <v>47.887405399999999</v>
      </c>
      <c r="K126">
        <v>27.722589490000001</v>
      </c>
      <c r="L126">
        <v>27.722589490000001</v>
      </c>
      <c r="M126">
        <v>3.322247505</v>
      </c>
      <c r="N126">
        <v>1</v>
      </c>
      <c r="O126">
        <v>3.322247505</v>
      </c>
    </row>
    <row r="127" spans="1:15">
      <c r="A127">
        <v>-0.14312139400000001</v>
      </c>
      <c r="B127">
        <v>-4.8636263999999998E-2</v>
      </c>
      <c r="C127">
        <v>-7.1560697000000006E-2</v>
      </c>
      <c r="D127">
        <v>-0.135242166</v>
      </c>
      <c r="E127">
        <v>4</v>
      </c>
      <c r="F127">
        <v>33</v>
      </c>
      <c r="G127">
        <v>20</v>
      </c>
      <c r="H127">
        <v>0</v>
      </c>
      <c r="I127">
        <v>2</v>
      </c>
      <c r="J127">
        <v>36.577095030000002</v>
      </c>
      <c r="K127">
        <v>26.74127197</v>
      </c>
      <c r="L127">
        <v>26.74127197</v>
      </c>
      <c r="M127">
        <v>3.286208153</v>
      </c>
      <c r="N127">
        <v>1</v>
      </c>
      <c r="O127">
        <v>3.286208153</v>
      </c>
    </row>
    <row r="128" spans="1:15">
      <c r="A128">
        <v>-0.67347119200000005</v>
      </c>
      <c r="B128">
        <v>4.5477970000000001E-3</v>
      </c>
      <c r="C128">
        <v>-0.33673559600000003</v>
      </c>
      <c r="D128">
        <v>-0.47053803999999999</v>
      </c>
      <c r="E128">
        <v>5</v>
      </c>
      <c r="F128">
        <v>50</v>
      </c>
      <c r="G128">
        <v>12</v>
      </c>
      <c r="H128">
        <v>1</v>
      </c>
      <c r="I128">
        <v>1</v>
      </c>
      <c r="J128">
        <v>33.353542330000003</v>
      </c>
      <c r="K128">
        <v>18.959173199999999</v>
      </c>
      <c r="L128">
        <v>18.959173199999999</v>
      </c>
      <c r="M128">
        <v>2.9422879220000002</v>
      </c>
      <c r="N128">
        <v>1</v>
      </c>
      <c r="O128">
        <v>2.9422879220000002</v>
      </c>
    </row>
    <row r="129" spans="1:15">
      <c r="A129">
        <v>0.75583107900000002</v>
      </c>
      <c r="B129">
        <v>-0.63881867000000003</v>
      </c>
      <c r="C129">
        <v>0.37791553999999999</v>
      </c>
      <c r="D129">
        <v>7.7775893999999998E-2</v>
      </c>
      <c r="E129">
        <v>6</v>
      </c>
      <c r="F129">
        <v>40</v>
      </c>
      <c r="G129">
        <v>16</v>
      </c>
      <c r="H129">
        <v>1</v>
      </c>
      <c r="I129">
        <v>0</v>
      </c>
      <c r="J129">
        <v>33.933311459999999</v>
      </c>
      <c r="K129">
        <v>29.534986499999999</v>
      </c>
      <c r="L129">
        <v>29.534986499999999</v>
      </c>
      <c r="M129">
        <v>3.3855755329999999</v>
      </c>
      <c r="N129">
        <v>1</v>
      </c>
      <c r="O129">
        <v>3.3855755329999999</v>
      </c>
    </row>
    <row r="130" spans="1:15">
      <c r="A130">
        <v>-0.93100815199999998</v>
      </c>
      <c r="B130">
        <v>-1.065942631</v>
      </c>
      <c r="C130">
        <v>-0.46550407599999999</v>
      </c>
      <c r="D130">
        <v>-1.4123777449999999</v>
      </c>
      <c r="E130">
        <v>7</v>
      </c>
      <c r="F130">
        <v>49</v>
      </c>
      <c r="G130">
        <v>16</v>
      </c>
      <c r="H130">
        <v>1</v>
      </c>
      <c r="I130">
        <v>0</v>
      </c>
      <c r="J130">
        <v>19.651466370000001</v>
      </c>
      <c r="K130">
        <v>21.21395111</v>
      </c>
      <c r="N130">
        <v>0</v>
      </c>
      <c r="O130">
        <v>0</v>
      </c>
    </row>
    <row r="131" spans="1:15">
      <c r="A131">
        <v>0.89539091199999998</v>
      </c>
      <c r="B131">
        <v>-0.44856299399999999</v>
      </c>
      <c r="C131">
        <v>0.44769545599999999</v>
      </c>
      <c r="D131">
        <v>0.31114451700000001</v>
      </c>
      <c r="E131">
        <v>8</v>
      </c>
      <c r="F131">
        <v>49</v>
      </c>
      <c r="G131">
        <v>16</v>
      </c>
      <c r="H131">
        <v>1</v>
      </c>
      <c r="I131">
        <v>3</v>
      </c>
      <c r="J131">
        <v>55.333732599999998</v>
      </c>
      <c r="K131">
        <v>32.172344209999999</v>
      </c>
      <c r="L131">
        <v>32.172344209999999</v>
      </c>
      <c r="M131">
        <v>3.4711072440000001</v>
      </c>
      <c r="N131">
        <v>1</v>
      </c>
      <c r="O131">
        <v>3.4711072440000001</v>
      </c>
    </row>
    <row r="132" spans="1:15">
      <c r="A132">
        <v>0.99242166200000004</v>
      </c>
      <c r="B132">
        <v>0.68212924600000002</v>
      </c>
      <c r="C132">
        <v>0.49621083100000002</v>
      </c>
      <c r="D132">
        <v>1.1828504479999999</v>
      </c>
      <c r="E132">
        <v>9</v>
      </c>
      <c r="F132">
        <v>38</v>
      </c>
      <c r="G132">
        <v>12</v>
      </c>
      <c r="H132">
        <v>1</v>
      </c>
      <c r="I132">
        <v>1</v>
      </c>
      <c r="J132">
        <v>48.394207000000002</v>
      </c>
      <c r="K132">
        <v>26.55452919</v>
      </c>
      <c r="L132">
        <v>26.55452919</v>
      </c>
      <c r="M132">
        <v>3.2792003150000002</v>
      </c>
      <c r="N132">
        <v>1</v>
      </c>
      <c r="O132">
        <v>3.2792003150000002</v>
      </c>
    </row>
    <row r="133" spans="1:15">
      <c r="A133">
        <v>0.72381518199999995</v>
      </c>
      <c r="B133">
        <v>-0.37954680899999999</v>
      </c>
      <c r="C133">
        <v>0.36190759099999997</v>
      </c>
      <c r="D133">
        <v>0.23948693700000001</v>
      </c>
      <c r="E133">
        <v>0</v>
      </c>
      <c r="F133">
        <v>34</v>
      </c>
      <c r="G133">
        <v>10</v>
      </c>
      <c r="H133">
        <v>0</v>
      </c>
      <c r="I133">
        <v>0</v>
      </c>
      <c r="J133">
        <v>23.973842619999999</v>
      </c>
      <c r="K133">
        <v>22.14289093</v>
      </c>
      <c r="N133">
        <v>0</v>
      </c>
      <c r="O133">
        <v>0</v>
      </c>
    </row>
    <row r="134" spans="1:15">
      <c r="A134">
        <v>0.93216822300000002</v>
      </c>
      <c r="B134">
        <v>-0.29074802900000002</v>
      </c>
      <c r="C134">
        <v>0.46608411100000002</v>
      </c>
      <c r="D134">
        <v>0.44915656500000001</v>
      </c>
      <c r="E134">
        <v>1</v>
      </c>
      <c r="F134">
        <v>22</v>
      </c>
      <c r="G134">
        <v>10</v>
      </c>
      <c r="H134">
        <v>0</v>
      </c>
      <c r="I134">
        <v>3</v>
      </c>
      <c r="J134">
        <v>36.689880369999997</v>
      </c>
      <c r="K134">
        <v>20.993009570000002</v>
      </c>
      <c r="L134">
        <v>20.993009570000002</v>
      </c>
      <c r="M134">
        <v>3.044189453</v>
      </c>
      <c r="N134">
        <v>1</v>
      </c>
      <c r="O134">
        <v>3.044189453</v>
      </c>
    </row>
    <row r="135" spans="1:15">
      <c r="A135">
        <v>1.9408020029999999</v>
      </c>
      <c r="B135">
        <v>-0.70467498399999995</v>
      </c>
      <c r="C135">
        <v>0.97040100100000004</v>
      </c>
      <c r="D135">
        <v>0.86457619600000002</v>
      </c>
      <c r="E135">
        <v>2</v>
      </c>
      <c r="F135">
        <v>47</v>
      </c>
      <c r="G135">
        <v>10</v>
      </c>
      <c r="H135">
        <v>0</v>
      </c>
      <c r="I135">
        <v>2</v>
      </c>
      <c r="J135">
        <v>46.674915310000003</v>
      </c>
      <c r="K135">
        <v>32.044811250000002</v>
      </c>
      <c r="L135">
        <v>32.044811250000002</v>
      </c>
      <c r="M135">
        <v>3.4671351910000001</v>
      </c>
      <c r="N135">
        <v>1</v>
      </c>
      <c r="O135">
        <v>3.4671351910000001</v>
      </c>
    </row>
    <row r="136" spans="1:15">
      <c r="A136">
        <v>0.442775735</v>
      </c>
      <c r="B136">
        <v>-0.52805140100000003</v>
      </c>
      <c r="C136">
        <v>0.22138786799999999</v>
      </c>
      <c r="D136">
        <v>-6.3741459E-2</v>
      </c>
      <c r="E136">
        <v>3</v>
      </c>
      <c r="F136">
        <v>30</v>
      </c>
      <c r="G136">
        <v>12</v>
      </c>
      <c r="H136">
        <v>0</v>
      </c>
      <c r="I136">
        <v>1</v>
      </c>
      <c r="J136">
        <v>25.235101700000001</v>
      </c>
      <c r="K136">
        <v>21.656654360000001</v>
      </c>
      <c r="N136">
        <v>0</v>
      </c>
      <c r="O136">
        <v>0</v>
      </c>
    </row>
    <row r="137" spans="1:15">
      <c r="A137">
        <v>-1.605944461</v>
      </c>
      <c r="B137">
        <v>-0.47554965100000002</v>
      </c>
      <c r="C137">
        <v>-0.80297222999999995</v>
      </c>
      <c r="D137">
        <v>-1.467656582</v>
      </c>
      <c r="E137">
        <v>4</v>
      </c>
      <c r="F137">
        <v>52</v>
      </c>
      <c r="G137">
        <v>10</v>
      </c>
      <c r="H137">
        <v>0</v>
      </c>
      <c r="I137">
        <v>3</v>
      </c>
      <c r="J137">
        <v>25.688121800000001</v>
      </c>
      <c r="K137">
        <v>11.764332769999999</v>
      </c>
      <c r="N137">
        <v>0</v>
      </c>
      <c r="O137">
        <v>0</v>
      </c>
    </row>
    <row r="138" spans="1:15">
      <c r="A138">
        <v>1.1674804910000001</v>
      </c>
      <c r="B138">
        <v>-0.305766227</v>
      </c>
      <c r="C138">
        <v>0.58374024599999996</v>
      </c>
      <c r="D138">
        <v>0.60402104599999995</v>
      </c>
      <c r="E138">
        <v>5</v>
      </c>
      <c r="F138">
        <v>30</v>
      </c>
      <c r="G138">
        <v>16</v>
      </c>
      <c r="H138">
        <v>1</v>
      </c>
      <c r="I138">
        <v>0</v>
      </c>
      <c r="J138">
        <v>36.248252870000002</v>
      </c>
      <c r="K138">
        <v>30.004882810000002</v>
      </c>
      <c r="L138">
        <v>30.004882810000002</v>
      </c>
      <c r="M138">
        <v>3.4013600350000002</v>
      </c>
      <c r="N138">
        <v>1</v>
      </c>
      <c r="O138">
        <v>3.4013600350000002</v>
      </c>
    </row>
    <row r="139" spans="1:15">
      <c r="A139">
        <v>1.182369821</v>
      </c>
      <c r="B139">
        <v>-0.53318096999999998</v>
      </c>
      <c r="C139">
        <v>0.59118490999999995</v>
      </c>
      <c r="D139">
        <v>0.45289893599999997</v>
      </c>
      <c r="E139">
        <v>6</v>
      </c>
      <c r="F139">
        <v>36</v>
      </c>
      <c r="G139">
        <v>12</v>
      </c>
      <c r="H139">
        <v>1</v>
      </c>
      <c r="I139">
        <v>4</v>
      </c>
      <c r="J139">
        <v>53.834785459999999</v>
      </c>
      <c r="K139">
        <v>27.294218059999999</v>
      </c>
      <c r="L139">
        <v>27.294218059999999</v>
      </c>
      <c r="M139">
        <v>3.3066749569999998</v>
      </c>
      <c r="N139">
        <v>1</v>
      </c>
      <c r="O139">
        <v>3.3066749569999998</v>
      </c>
    </row>
    <row r="140" spans="1:15">
      <c r="A140">
        <v>0.21400444299999999</v>
      </c>
      <c r="B140">
        <v>0.72481686700000003</v>
      </c>
      <c r="C140">
        <v>0.10700222199999999</v>
      </c>
      <c r="D140">
        <v>0.66558698199999999</v>
      </c>
      <c r="E140">
        <v>7</v>
      </c>
      <c r="F140">
        <v>46</v>
      </c>
      <c r="G140">
        <v>20</v>
      </c>
      <c r="H140">
        <v>1</v>
      </c>
      <c r="I140">
        <v>0</v>
      </c>
      <c r="J140">
        <v>46.387042999999998</v>
      </c>
      <c r="K140">
        <v>31.48402596</v>
      </c>
      <c r="L140">
        <v>31.48402596</v>
      </c>
      <c r="M140">
        <v>3.4494802949999999</v>
      </c>
      <c r="N140">
        <v>1</v>
      </c>
      <c r="O140">
        <v>3.4494802949999999</v>
      </c>
    </row>
    <row r="141" spans="1:15">
      <c r="A141">
        <v>0.63237302100000004</v>
      </c>
      <c r="B141">
        <v>0.78772874100000001</v>
      </c>
      <c r="C141">
        <v>0.31618650999999998</v>
      </c>
      <c r="D141">
        <v>1.004602405</v>
      </c>
      <c r="E141">
        <v>8</v>
      </c>
      <c r="F141">
        <v>38</v>
      </c>
      <c r="G141">
        <v>16</v>
      </c>
      <c r="H141">
        <v>1</v>
      </c>
      <c r="I141">
        <v>1</v>
      </c>
      <c r="J141">
        <v>49.25522995</v>
      </c>
      <c r="K141">
        <v>28.394237520000001</v>
      </c>
      <c r="L141">
        <v>28.394237520000001</v>
      </c>
      <c r="M141">
        <v>3.3461861609999999</v>
      </c>
      <c r="N141">
        <v>1</v>
      </c>
      <c r="O141">
        <v>3.3461861609999999</v>
      </c>
    </row>
    <row r="142" spans="1:15">
      <c r="A142">
        <v>0.11718777599999999</v>
      </c>
      <c r="B142">
        <v>-1.3484675880000001</v>
      </c>
      <c r="C142">
        <v>5.8593887999999997E-2</v>
      </c>
      <c r="D142">
        <v>-0.875755532</v>
      </c>
      <c r="E142">
        <v>9</v>
      </c>
      <c r="F142">
        <v>47</v>
      </c>
      <c r="G142">
        <v>12</v>
      </c>
      <c r="H142">
        <v>1</v>
      </c>
      <c r="I142">
        <v>0</v>
      </c>
      <c r="J142">
        <v>22.29093361</v>
      </c>
      <c r="K142">
        <v>23.103126530000001</v>
      </c>
      <c r="N142">
        <v>0</v>
      </c>
      <c r="O142">
        <v>0</v>
      </c>
    </row>
    <row r="143" spans="1:15">
      <c r="A143">
        <v>-0.41762931199999997</v>
      </c>
      <c r="B143">
        <v>0.40343581499999998</v>
      </c>
      <c r="C143">
        <v>-0.20881465599999999</v>
      </c>
      <c r="D143">
        <v>-7.118025E-3</v>
      </c>
      <c r="E143">
        <v>0</v>
      </c>
      <c r="F143">
        <v>25</v>
      </c>
      <c r="G143">
        <v>10</v>
      </c>
      <c r="H143">
        <v>0</v>
      </c>
      <c r="I143">
        <v>1</v>
      </c>
      <c r="J143">
        <v>22.41458321</v>
      </c>
      <c r="K143">
        <v>13.49422455</v>
      </c>
      <c r="N143">
        <v>0</v>
      </c>
      <c r="O143">
        <v>0</v>
      </c>
    </row>
    <row r="144" spans="1:15">
      <c r="A144">
        <v>-0.124519219</v>
      </c>
      <c r="B144">
        <v>1.845360721</v>
      </c>
      <c r="C144">
        <v>-6.225961E-2</v>
      </c>
      <c r="D144">
        <v>1.223680377</v>
      </c>
      <c r="E144">
        <v>1</v>
      </c>
      <c r="F144">
        <v>22</v>
      </c>
      <c r="G144">
        <v>10</v>
      </c>
      <c r="H144">
        <v>0</v>
      </c>
      <c r="I144">
        <v>3</v>
      </c>
      <c r="J144">
        <v>45.984165189999999</v>
      </c>
      <c r="K144">
        <v>14.652884480000001</v>
      </c>
      <c r="L144">
        <v>14.652884480000001</v>
      </c>
      <c r="M144">
        <v>2.6846373080000001</v>
      </c>
      <c r="N144">
        <v>1</v>
      </c>
      <c r="O144">
        <v>2.6846373080000001</v>
      </c>
    </row>
    <row r="145" spans="1:15">
      <c r="A145">
        <v>-0.84511567399999998</v>
      </c>
      <c r="B145">
        <v>-1.235775931</v>
      </c>
      <c r="C145">
        <v>-0.42255783699999999</v>
      </c>
      <c r="D145">
        <v>-1.4726347500000001</v>
      </c>
      <c r="E145">
        <v>2</v>
      </c>
      <c r="F145">
        <v>25</v>
      </c>
      <c r="G145">
        <v>10</v>
      </c>
      <c r="H145">
        <v>0</v>
      </c>
      <c r="I145">
        <v>1</v>
      </c>
      <c r="J145">
        <v>4.8283829689999997</v>
      </c>
      <c r="K145">
        <v>10.929306029999999</v>
      </c>
      <c r="N145">
        <v>0</v>
      </c>
      <c r="O145">
        <v>0</v>
      </c>
    </row>
    <row r="146" spans="1:15">
      <c r="A146">
        <v>-1.299990827</v>
      </c>
      <c r="B146">
        <v>-3.2713224999999999E-2</v>
      </c>
      <c r="C146">
        <v>-0.64999541400000005</v>
      </c>
      <c r="D146">
        <v>-0.937755381</v>
      </c>
      <c r="E146">
        <v>3</v>
      </c>
      <c r="F146">
        <v>27</v>
      </c>
      <c r="G146">
        <v>12</v>
      </c>
      <c r="H146">
        <v>1</v>
      </c>
      <c r="I146">
        <v>4</v>
      </c>
      <c r="J146">
        <v>33.546936039999999</v>
      </c>
      <c r="K146">
        <v>10.600054739999999</v>
      </c>
      <c r="L146">
        <v>10.600054739999999</v>
      </c>
      <c r="M146">
        <v>2.3608591560000001</v>
      </c>
      <c r="N146">
        <v>1</v>
      </c>
      <c r="O146">
        <v>2.3608591560000001</v>
      </c>
    </row>
    <row r="147" spans="1:15">
      <c r="A147">
        <v>-2.1789852440000002</v>
      </c>
      <c r="B147">
        <v>0.75090370699999998</v>
      </c>
      <c r="C147">
        <v>-1.0894926220000001</v>
      </c>
      <c r="D147">
        <v>-0.99928275600000005</v>
      </c>
      <c r="E147">
        <v>4</v>
      </c>
      <c r="F147">
        <v>29</v>
      </c>
      <c r="G147">
        <v>12</v>
      </c>
      <c r="H147">
        <v>1</v>
      </c>
      <c r="I147">
        <v>1</v>
      </c>
      <c r="J147">
        <v>18.608606340000001</v>
      </c>
      <c r="K147">
        <v>5.7260885239999997</v>
      </c>
      <c r="N147">
        <v>0</v>
      </c>
      <c r="O147">
        <v>0</v>
      </c>
    </row>
    <row r="148" spans="1:15">
      <c r="A148">
        <v>0.73236606999999998</v>
      </c>
      <c r="B148">
        <v>-1.5842312039999999</v>
      </c>
      <c r="C148">
        <v>0.36618303499999999</v>
      </c>
      <c r="D148">
        <v>-0.61052238000000003</v>
      </c>
      <c r="E148">
        <v>5</v>
      </c>
      <c r="F148">
        <v>33</v>
      </c>
      <c r="G148">
        <v>10</v>
      </c>
      <c r="H148">
        <v>1</v>
      </c>
      <c r="I148">
        <v>0</v>
      </c>
      <c r="J148">
        <v>18.37373161</v>
      </c>
      <c r="K148">
        <v>21.994195940000001</v>
      </c>
      <c r="N148">
        <v>0</v>
      </c>
      <c r="O148">
        <v>0</v>
      </c>
    </row>
    <row r="149" spans="1:15">
      <c r="A149">
        <v>1.4626577940000001</v>
      </c>
      <c r="B149">
        <v>0.15013928300000001</v>
      </c>
      <c r="C149">
        <v>0.73132889700000003</v>
      </c>
      <c r="D149">
        <v>1.1356280059999999</v>
      </c>
      <c r="E149">
        <v>6</v>
      </c>
      <c r="F149">
        <v>33</v>
      </c>
      <c r="G149">
        <v>16</v>
      </c>
      <c r="H149">
        <v>1</v>
      </c>
      <c r="I149">
        <v>1</v>
      </c>
      <c r="J149">
        <v>48.827537540000002</v>
      </c>
      <c r="K149">
        <v>32.375946040000002</v>
      </c>
      <c r="L149">
        <v>32.375946040000002</v>
      </c>
      <c r="M149">
        <v>3.4774158000000002</v>
      </c>
      <c r="N149">
        <v>1</v>
      </c>
      <c r="O149">
        <v>3.4774158000000002</v>
      </c>
    </row>
    <row r="150" spans="1:15">
      <c r="A150">
        <v>1.2777136710000001</v>
      </c>
      <c r="B150">
        <v>-0.485141504</v>
      </c>
      <c r="C150">
        <v>0.63885683599999998</v>
      </c>
      <c r="D150">
        <v>0.55410675899999995</v>
      </c>
      <c r="E150">
        <v>7</v>
      </c>
      <c r="F150">
        <v>35</v>
      </c>
      <c r="G150">
        <v>16</v>
      </c>
      <c r="H150">
        <v>1</v>
      </c>
      <c r="I150">
        <v>4</v>
      </c>
      <c r="J150">
        <v>57.64928055</v>
      </c>
      <c r="K150">
        <v>31.666282649999999</v>
      </c>
      <c r="L150">
        <v>31.666282649999999</v>
      </c>
      <c r="M150">
        <v>3.4552524089999999</v>
      </c>
      <c r="N150">
        <v>1</v>
      </c>
      <c r="O150">
        <v>3.4552524089999999</v>
      </c>
    </row>
    <row r="151" spans="1:15">
      <c r="A151">
        <v>-1.941066221</v>
      </c>
      <c r="B151">
        <v>-1.2563669710000001</v>
      </c>
      <c r="C151">
        <v>-0.97053311099999995</v>
      </c>
      <c r="D151">
        <v>-2.2582392750000002</v>
      </c>
      <c r="E151">
        <v>8</v>
      </c>
      <c r="F151">
        <v>36</v>
      </c>
      <c r="G151">
        <v>12</v>
      </c>
      <c r="H151">
        <v>1</v>
      </c>
      <c r="I151">
        <v>3</v>
      </c>
      <c r="J151">
        <v>16.301128389999999</v>
      </c>
      <c r="K151">
        <v>8.5536022190000001</v>
      </c>
      <c r="N151">
        <v>0</v>
      </c>
      <c r="O151">
        <v>0</v>
      </c>
    </row>
    <row r="152" spans="1:15">
      <c r="A152">
        <v>-0.69808473599999998</v>
      </c>
      <c r="B152">
        <v>-1.042337858</v>
      </c>
      <c r="C152">
        <v>-0.34904236799999999</v>
      </c>
      <c r="D152">
        <v>-1.2317490499999999</v>
      </c>
      <c r="E152">
        <v>9</v>
      </c>
      <c r="F152">
        <v>39</v>
      </c>
      <c r="G152">
        <v>20</v>
      </c>
      <c r="H152">
        <v>1</v>
      </c>
      <c r="I152">
        <v>0</v>
      </c>
      <c r="J152">
        <v>20.81901169</v>
      </c>
      <c r="K152">
        <v>24.611492160000001</v>
      </c>
      <c r="N152">
        <v>0</v>
      </c>
      <c r="O152">
        <v>0</v>
      </c>
    </row>
    <row r="153" spans="1:15">
      <c r="A153">
        <v>-1.222074973</v>
      </c>
      <c r="B153">
        <v>-1.6418932340000001</v>
      </c>
      <c r="C153">
        <v>-0.61103748700000005</v>
      </c>
      <c r="D153">
        <v>-2.0263947309999999</v>
      </c>
      <c r="E153">
        <v>0</v>
      </c>
      <c r="F153">
        <v>21</v>
      </c>
      <c r="G153">
        <v>10</v>
      </c>
      <c r="H153">
        <v>1</v>
      </c>
      <c r="I153">
        <v>0</v>
      </c>
      <c r="J153">
        <v>-3.4167368410000001</v>
      </c>
      <c r="K153">
        <v>7.8675503730000003</v>
      </c>
      <c r="N153">
        <v>0</v>
      </c>
      <c r="O153">
        <v>0</v>
      </c>
    </row>
    <row r="154" spans="1:15">
      <c r="A154">
        <v>-1.2113938440000001</v>
      </c>
      <c r="B154">
        <v>0.41683738399999998</v>
      </c>
      <c r="C154">
        <v>-0.60569692200000003</v>
      </c>
      <c r="D154">
        <v>-0.55598801399999997</v>
      </c>
      <c r="E154">
        <v>1</v>
      </c>
      <c r="F154">
        <v>28</v>
      </c>
      <c r="G154">
        <v>10</v>
      </c>
      <c r="H154">
        <v>1</v>
      </c>
      <c r="I154">
        <v>0</v>
      </c>
      <c r="J154">
        <v>17.028142930000001</v>
      </c>
      <c r="K154">
        <v>9.3316373830000003</v>
      </c>
      <c r="N154">
        <v>0</v>
      </c>
      <c r="O154">
        <v>0</v>
      </c>
    </row>
    <row r="155" spans="1:15">
      <c r="A155">
        <v>-0.87107278700000002</v>
      </c>
      <c r="B155">
        <v>1.572577527</v>
      </c>
      <c r="C155">
        <v>-0.43553639399999999</v>
      </c>
      <c r="D155">
        <v>0.50466491300000005</v>
      </c>
      <c r="E155">
        <v>2</v>
      </c>
      <c r="F155">
        <v>28</v>
      </c>
      <c r="G155">
        <v>12</v>
      </c>
      <c r="H155">
        <v>1</v>
      </c>
      <c r="I155">
        <v>0</v>
      </c>
      <c r="J155">
        <v>31.255979539999998</v>
      </c>
      <c r="K155">
        <v>13.373562809999999</v>
      </c>
      <c r="L155">
        <v>13.373562809999999</v>
      </c>
      <c r="M155">
        <v>2.593279839</v>
      </c>
      <c r="N155">
        <v>1</v>
      </c>
      <c r="O155">
        <v>2.593279839</v>
      </c>
    </row>
    <row r="156" spans="1:15">
      <c r="A156">
        <v>-2.228246875</v>
      </c>
      <c r="B156">
        <v>-1.312970821</v>
      </c>
      <c r="C156">
        <v>-1.114123438</v>
      </c>
      <c r="D156">
        <v>-2.5004850219999999</v>
      </c>
      <c r="E156">
        <v>3</v>
      </c>
      <c r="F156">
        <v>30</v>
      </c>
      <c r="G156">
        <v>12</v>
      </c>
      <c r="H156">
        <v>0</v>
      </c>
      <c r="I156">
        <v>1</v>
      </c>
      <c r="J156">
        <v>-4.0058202740000004</v>
      </c>
      <c r="K156">
        <v>5.6305189130000004</v>
      </c>
      <c r="N156">
        <v>0</v>
      </c>
      <c r="O156">
        <v>0</v>
      </c>
    </row>
    <row r="157" spans="1:15">
      <c r="A157">
        <v>-0.49872505499999997</v>
      </c>
      <c r="B157">
        <v>1.26123181</v>
      </c>
      <c r="C157">
        <v>-0.249362527</v>
      </c>
      <c r="D157">
        <v>0.54536589700000004</v>
      </c>
      <c r="E157">
        <v>4</v>
      </c>
      <c r="F157">
        <v>45</v>
      </c>
      <c r="G157">
        <v>12</v>
      </c>
      <c r="H157">
        <v>1</v>
      </c>
      <c r="I157">
        <v>1</v>
      </c>
      <c r="J157">
        <v>43.54439163</v>
      </c>
      <c r="K157">
        <v>19.007650380000001</v>
      </c>
      <c r="L157">
        <v>19.007650380000001</v>
      </c>
      <c r="M157">
        <v>2.9448416229999999</v>
      </c>
      <c r="N157">
        <v>1</v>
      </c>
      <c r="O157">
        <v>2.9448416229999999</v>
      </c>
    </row>
    <row r="158" spans="1:15">
      <c r="A158">
        <v>0.89772774</v>
      </c>
      <c r="B158">
        <v>-0.37487486199999998</v>
      </c>
      <c r="C158">
        <v>0.44886387</v>
      </c>
      <c r="D158">
        <v>0.36514972800000001</v>
      </c>
      <c r="E158">
        <v>5</v>
      </c>
      <c r="F158">
        <v>36</v>
      </c>
      <c r="G158">
        <v>10</v>
      </c>
      <c r="H158">
        <v>1</v>
      </c>
      <c r="I158">
        <v>2</v>
      </c>
      <c r="J158">
        <v>41.281795500000001</v>
      </c>
      <c r="K158">
        <v>23.586366649999999</v>
      </c>
      <c r="L158">
        <v>23.586366649999999</v>
      </c>
      <c r="M158">
        <v>3.16066885</v>
      </c>
      <c r="N158">
        <v>1</v>
      </c>
      <c r="O158">
        <v>3.16066885</v>
      </c>
    </row>
    <row r="159" spans="1:15">
      <c r="A159">
        <v>0.55487822600000003</v>
      </c>
      <c r="B159">
        <v>-6.5488381999999998E-2</v>
      </c>
      <c r="C159">
        <v>0.27743911300000001</v>
      </c>
      <c r="D159">
        <v>0.343807786</v>
      </c>
      <c r="E159">
        <v>6</v>
      </c>
      <c r="F159">
        <v>32</v>
      </c>
      <c r="G159">
        <v>12</v>
      </c>
      <c r="H159">
        <v>1</v>
      </c>
      <c r="I159">
        <v>4</v>
      </c>
      <c r="J159">
        <v>50.925693510000002</v>
      </c>
      <c r="K159">
        <v>22.729269030000001</v>
      </c>
      <c r="L159">
        <v>22.729269030000001</v>
      </c>
      <c r="M159">
        <v>3.1236534119999999</v>
      </c>
      <c r="N159">
        <v>1</v>
      </c>
      <c r="O159">
        <v>3.1236534119999999</v>
      </c>
    </row>
    <row r="160" spans="1:15">
      <c r="A160">
        <v>1.2009815180000001</v>
      </c>
      <c r="B160">
        <v>-0.67247537499999999</v>
      </c>
      <c r="C160">
        <v>0.60049075900000004</v>
      </c>
      <c r="D160">
        <v>0.367011965</v>
      </c>
      <c r="E160">
        <v>7</v>
      </c>
      <c r="F160">
        <v>34</v>
      </c>
      <c r="G160">
        <v>10</v>
      </c>
      <c r="H160">
        <v>1</v>
      </c>
      <c r="I160">
        <v>0</v>
      </c>
      <c r="J160">
        <v>30.504142760000001</v>
      </c>
      <c r="K160">
        <v>25.005889889999999</v>
      </c>
      <c r="L160">
        <v>25.005889889999999</v>
      </c>
      <c r="M160">
        <v>3.2191114430000001</v>
      </c>
      <c r="N160">
        <v>1</v>
      </c>
      <c r="O160">
        <v>3.2191114430000001</v>
      </c>
    </row>
    <row r="161" spans="1:15">
      <c r="A161">
        <v>-0.36755716599999999</v>
      </c>
      <c r="B161">
        <v>0.153180449</v>
      </c>
      <c r="C161">
        <v>-0.183778583</v>
      </c>
      <c r="D161">
        <v>-0.14972002200000001</v>
      </c>
      <c r="E161">
        <v>8</v>
      </c>
      <c r="F161">
        <v>46</v>
      </c>
      <c r="G161">
        <v>16</v>
      </c>
      <c r="H161">
        <v>1</v>
      </c>
      <c r="I161">
        <v>3</v>
      </c>
      <c r="J161">
        <v>48.603359220000002</v>
      </c>
      <c r="K161">
        <v>23.994657520000001</v>
      </c>
      <c r="L161">
        <v>23.994657520000001</v>
      </c>
      <c r="M161">
        <v>3.177831173</v>
      </c>
      <c r="N161">
        <v>1</v>
      </c>
      <c r="O161">
        <v>3.177831173</v>
      </c>
    </row>
    <row r="162" spans="1:15">
      <c r="A162">
        <v>-0.66796310599999997</v>
      </c>
      <c r="B162">
        <v>-2.670174539</v>
      </c>
      <c r="C162">
        <v>-0.33398155299999999</v>
      </c>
      <c r="D162">
        <v>-2.367267462</v>
      </c>
      <c r="E162">
        <v>9</v>
      </c>
      <c r="F162">
        <v>48</v>
      </c>
      <c r="G162">
        <v>12</v>
      </c>
      <c r="H162">
        <v>1</v>
      </c>
      <c r="I162">
        <v>1</v>
      </c>
      <c r="J162">
        <v>9.7927904130000005</v>
      </c>
      <c r="K162">
        <v>18.592222209999999</v>
      </c>
      <c r="N162">
        <v>0</v>
      </c>
      <c r="O162">
        <v>0</v>
      </c>
    </row>
    <row r="163" spans="1:15">
      <c r="A163">
        <v>-0.15373872399999999</v>
      </c>
      <c r="B163">
        <v>-1.0355539620000001</v>
      </c>
      <c r="C163">
        <v>-7.6869361999999997E-2</v>
      </c>
      <c r="D163">
        <v>-0.84399516900000005</v>
      </c>
      <c r="E163">
        <v>0</v>
      </c>
      <c r="F163">
        <v>20</v>
      </c>
      <c r="G163">
        <v>16</v>
      </c>
      <c r="H163">
        <v>1</v>
      </c>
      <c r="I163">
        <v>1</v>
      </c>
      <c r="J163">
        <v>19.87205887</v>
      </c>
      <c r="K163">
        <v>20.07756805</v>
      </c>
      <c r="N163">
        <v>0</v>
      </c>
      <c r="O163">
        <v>0</v>
      </c>
    </row>
    <row r="164" spans="1:15">
      <c r="A164">
        <v>-2.3497201240000001</v>
      </c>
      <c r="B164">
        <v>-0.93463291699999995</v>
      </c>
      <c r="C164">
        <v>-1.174860062</v>
      </c>
      <c r="D164">
        <v>-2.3170989689999999</v>
      </c>
      <c r="E164">
        <v>1</v>
      </c>
      <c r="F164">
        <v>37</v>
      </c>
      <c r="G164">
        <v>10</v>
      </c>
      <c r="H164">
        <v>0</v>
      </c>
      <c r="I164">
        <v>1</v>
      </c>
      <c r="J164">
        <v>-0.50518763099999997</v>
      </c>
      <c r="K164">
        <v>4.3016791339999996</v>
      </c>
      <c r="N164">
        <v>0</v>
      </c>
      <c r="O164">
        <v>0</v>
      </c>
    </row>
    <row r="165" spans="1:15">
      <c r="A165">
        <v>0.15507317000000001</v>
      </c>
      <c r="B165">
        <v>-0.49224694600000002</v>
      </c>
      <c r="C165">
        <v>7.7536585000000005E-2</v>
      </c>
      <c r="D165">
        <v>-0.240690864</v>
      </c>
      <c r="E165">
        <v>2</v>
      </c>
      <c r="F165">
        <v>31</v>
      </c>
      <c r="G165">
        <v>12</v>
      </c>
      <c r="H165">
        <v>1</v>
      </c>
      <c r="I165">
        <v>3</v>
      </c>
      <c r="J165">
        <v>38.511711120000001</v>
      </c>
      <c r="K165">
        <v>20.130439760000002</v>
      </c>
      <c r="L165">
        <v>20.130439760000002</v>
      </c>
      <c r="M165">
        <v>3.002233028</v>
      </c>
      <c r="N165">
        <v>1</v>
      </c>
      <c r="O165">
        <v>3.002233028</v>
      </c>
    </row>
    <row r="166" spans="1:15">
      <c r="A166">
        <v>1.6123142180000001</v>
      </c>
      <c r="B166">
        <v>-0.10484715999999999</v>
      </c>
      <c r="C166">
        <v>0.80615710900000004</v>
      </c>
      <c r="D166">
        <v>1.0597191720000001</v>
      </c>
      <c r="E166">
        <v>3</v>
      </c>
      <c r="F166">
        <v>41</v>
      </c>
      <c r="G166">
        <v>10</v>
      </c>
      <c r="H166">
        <v>0</v>
      </c>
      <c r="I166">
        <v>2</v>
      </c>
      <c r="J166">
        <v>46.616630549999996</v>
      </c>
      <c r="K166">
        <v>28.873886110000001</v>
      </c>
      <c r="L166">
        <v>28.873886110000001</v>
      </c>
      <c r="M166">
        <v>3.3629376889999998</v>
      </c>
      <c r="N166">
        <v>1</v>
      </c>
      <c r="O166">
        <v>3.3629376889999998</v>
      </c>
    </row>
    <row r="167" spans="1:15">
      <c r="A167">
        <v>-0.67324415599999998</v>
      </c>
      <c r="B167">
        <v>0.26590180099999999</v>
      </c>
      <c r="C167">
        <v>-0.33662207799999999</v>
      </c>
      <c r="D167">
        <v>-0.28466539600000001</v>
      </c>
      <c r="E167">
        <v>4</v>
      </c>
      <c r="F167">
        <v>28</v>
      </c>
      <c r="G167">
        <v>12</v>
      </c>
      <c r="H167">
        <v>1</v>
      </c>
      <c r="I167">
        <v>4</v>
      </c>
      <c r="J167">
        <v>41.784015660000001</v>
      </c>
      <c r="K167">
        <v>14.56053543</v>
      </c>
      <c r="L167">
        <v>14.56053543</v>
      </c>
      <c r="M167">
        <v>2.6783149239999999</v>
      </c>
      <c r="N167">
        <v>1</v>
      </c>
      <c r="O167">
        <v>2.6783149239999999</v>
      </c>
    </row>
    <row r="168" spans="1:15">
      <c r="A168">
        <v>0.25569025000000001</v>
      </c>
      <c r="B168">
        <v>-0.88573166999999997</v>
      </c>
      <c r="C168">
        <v>0.127845125</v>
      </c>
      <c r="D168">
        <v>-0.44951172099999998</v>
      </c>
      <c r="E168">
        <v>5</v>
      </c>
      <c r="F168">
        <v>31</v>
      </c>
      <c r="G168">
        <v>16</v>
      </c>
      <c r="H168">
        <v>1</v>
      </c>
      <c r="I168">
        <v>3</v>
      </c>
      <c r="J168">
        <v>39.005859379999997</v>
      </c>
      <c r="K168">
        <v>24.734142299999998</v>
      </c>
      <c r="L168">
        <v>24.734142299999998</v>
      </c>
      <c r="M168">
        <v>3.208184481</v>
      </c>
      <c r="N168">
        <v>1</v>
      </c>
      <c r="O168">
        <v>3.208184481</v>
      </c>
    </row>
    <row r="169" spans="1:15">
      <c r="A169">
        <v>-0.13728046199999999</v>
      </c>
      <c r="B169">
        <v>0.674859396</v>
      </c>
      <c r="C169">
        <v>-6.8640230999999996E-2</v>
      </c>
      <c r="D169">
        <v>0.38296833000000002</v>
      </c>
      <c r="E169">
        <v>6</v>
      </c>
      <c r="F169">
        <v>41</v>
      </c>
      <c r="G169">
        <v>10</v>
      </c>
      <c r="H169">
        <v>1</v>
      </c>
      <c r="I169">
        <v>0</v>
      </c>
      <c r="J169">
        <v>33.495620729999999</v>
      </c>
      <c r="K169">
        <v>18.37631798</v>
      </c>
      <c r="L169">
        <v>18.37631798</v>
      </c>
      <c r="M169">
        <v>2.9110627170000001</v>
      </c>
      <c r="N169">
        <v>1</v>
      </c>
      <c r="O169">
        <v>2.9110627170000001</v>
      </c>
    </row>
    <row r="170" spans="1:15">
      <c r="A170">
        <v>0.52276900800000003</v>
      </c>
      <c r="B170">
        <v>-5.5921336000000002E-2</v>
      </c>
      <c r="C170">
        <v>0.26138450400000002</v>
      </c>
      <c r="D170">
        <v>0.32801793099999998</v>
      </c>
      <c r="E170">
        <v>7</v>
      </c>
      <c r="F170">
        <v>35</v>
      </c>
      <c r="G170">
        <v>16</v>
      </c>
      <c r="H170">
        <v>1</v>
      </c>
      <c r="I170">
        <v>0</v>
      </c>
      <c r="J170">
        <v>34.936214450000001</v>
      </c>
      <c r="K170">
        <v>27.13661385</v>
      </c>
      <c r="L170">
        <v>27.13661385</v>
      </c>
      <c r="M170">
        <v>3.30088377</v>
      </c>
      <c r="N170">
        <v>1</v>
      </c>
      <c r="O170">
        <v>3.30088377</v>
      </c>
    </row>
    <row r="171" spans="1:15">
      <c r="A171">
        <v>0.29855387799999999</v>
      </c>
      <c r="B171">
        <v>-0.97435106999999999</v>
      </c>
      <c r="C171">
        <v>0.149276939</v>
      </c>
      <c r="D171">
        <v>-0.482329438</v>
      </c>
      <c r="E171">
        <v>8</v>
      </c>
      <c r="F171">
        <v>36</v>
      </c>
      <c r="G171">
        <v>12</v>
      </c>
      <c r="H171">
        <v>1</v>
      </c>
      <c r="I171">
        <v>5</v>
      </c>
      <c r="J171">
        <v>47.612045289999998</v>
      </c>
      <c r="K171">
        <v>21.991323470000001</v>
      </c>
      <c r="L171">
        <v>21.991323470000001</v>
      </c>
      <c r="M171">
        <v>3.0906479359999999</v>
      </c>
      <c r="N171">
        <v>1</v>
      </c>
      <c r="O171">
        <v>3.0906479359999999</v>
      </c>
    </row>
    <row r="172" spans="1:15">
      <c r="A172">
        <v>-1.006327373</v>
      </c>
      <c r="B172">
        <v>0.151671308</v>
      </c>
      <c r="C172">
        <v>-0.50316368600000005</v>
      </c>
      <c r="D172">
        <v>-0.60015075200000001</v>
      </c>
      <c r="E172">
        <v>9</v>
      </c>
      <c r="F172">
        <v>39</v>
      </c>
      <c r="G172">
        <v>12</v>
      </c>
      <c r="H172">
        <v>1</v>
      </c>
      <c r="I172">
        <v>1</v>
      </c>
      <c r="J172">
        <v>27.398191449999999</v>
      </c>
      <c r="K172">
        <v>14.76203537</v>
      </c>
      <c r="N172">
        <v>0</v>
      </c>
      <c r="O172">
        <v>0</v>
      </c>
    </row>
    <row r="173" spans="1:15">
      <c r="A173">
        <v>-0.13753394799999999</v>
      </c>
      <c r="B173">
        <v>0.52353991600000005</v>
      </c>
      <c r="C173">
        <v>-6.8766973999999995E-2</v>
      </c>
      <c r="D173">
        <v>0.27526541300000001</v>
      </c>
      <c r="E173">
        <v>0</v>
      </c>
      <c r="F173">
        <v>23</v>
      </c>
      <c r="G173">
        <v>10</v>
      </c>
      <c r="H173">
        <v>1</v>
      </c>
      <c r="I173">
        <v>0</v>
      </c>
      <c r="J173">
        <v>25.003185269999999</v>
      </c>
      <c r="K173">
        <v>14.77479649</v>
      </c>
      <c r="N173">
        <v>0</v>
      </c>
      <c r="O173">
        <v>0</v>
      </c>
    </row>
    <row r="174" spans="1:15">
      <c r="A174">
        <v>4.7824691000000003E-2</v>
      </c>
      <c r="B174">
        <v>-0.47288447</v>
      </c>
      <c r="C174">
        <v>2.3912345000000002E-2</v>
      </c>
      <c r="D174">
        <v>-0.302378814</v>
      </c>
      <c r="E174">
        <v>1</v>
      </c>
      <c r="F174">
        <v>26</v>
      </c>
      <c r="G174">
        <v>10</v>
      </c>
      <c r="H174">
        <v>1</v>
      </c>
      <c r="I174">
        <v>1</v>
      </c>
      <c r="J174">
        <v>24.271453860000001</v>
      </c>
      <c r="K174">
        <v>16.486948009999999</v>
      </c>
      <c r="N174">
        <v>0</v>
      </c>
      <c r="O174">
        <v>0</v>
      </c>
    </row>
    <row r="175" spans="1:15">
      <c r="A175">
        <v>-1.384411727</v>
      </c>
      <c r="B175">
        <v>1.982531254</v>
      </c>
      <c r="C175">
        <v>-0.69220586399999995</v>
      </c>
      <c r="D175">
        <v>0.434849131</v>
      </c>
      <c r="E175">
        <v>2</v>
      </c>
      <c r="F175">
        <v>41</v>
      </c>
      <c r="G175">
        <v>12</v>
      </c>
      <c r="H175">
        <v>0</v>
      </c>
      <c r="I175">
        <v>4</v>
      </c>
      <c r="J175">
        <v>50.618190769999998</v>
      </c>
      <c r="K175">
        <v>12.89352989</v>
      </c>
      <c r="L175">
        <v>12.89352989</v>
      </c>
      <c r="M175">
        <v>2.5567257400000001</v>
      </c>
      <c r="N175">
        <v>1</v>
      </c>
      <c r="O175">
        <v>2.5567257400000001</v>
      </c>
    </row>
    <row r="176" spans="1:15">
      <c r="A176">
        <v>0.53257622599999999</v>
      </c>
      <c r="B176">
        <v>-1.2271213889999999</v>
      </c>
      <c r="C176">
        <v>0.26628811299999999</v>
      </c>
      <c r="D176">
        <v>-0.49731428700000002</v>
      </c>
      <c r="E176">
        <v>3</v>
      </c>
      <c r="F176">
        <v>31</v>
      </c>
      <c r="G176">
        <v>10</v>
      </c>
      <c r="H176">
        <v>1</v>
      </c>
      <c r="I176">
        <v>0</v>
      </c>
      <c r="J176">
        <v>18.932228089999999</v>
      </c>
      <c r="K176">
        <v>20.395458219999998</v>
      </c>
      <c r="N176">
        <v>0</v>
      </c>
      <c r="O176">
        <v>0</v>
      </c>
    </row>
    <row r="177" spans="1:15">
      <c r="A177">
        <v>-1.494403916</v>
      </c>
      <c r="B177">
        <v>1.9940086999999999E-2</v>
      </c>
      <c r="C177">
        <v>-0.747201958</v>
      </c>
      <c r="D177">
        <v>-1.0371055840000001</v>
      </c>
      <c r="E177">
        <v>4</v>
      </c>
      <c r="F177">
        <v>51</v>
      </c>
      <c r="G177">
        <v>10</v>
      </c>
      <c r="H177">
        <v>1</v>
      </c>
      <c r="I177">
        <v>0</v>
      </c>
      <c r="J177">
        <v>20.454732889999999</v>
      </c>
      <c r="K177">
        <v>12.233576770000001</v>
      </c>
      <c r="N177">
        <v>0</v>
      </c>
      <c r="O177">
        <v>0</v>
      </c>
    </row>
    <row r="178" spans="1:15">
      <c r="A178">
        <v>-0.50109902699999997</v>
      </c>
      <c r="B178">
        <v>-1.105126413</v>
      </c>
      <c r="C178">
        <v>-0.25054951399999997</v>
      </c>
      <c r="D178">
        <v>-1.1377909770000001</v>
      </c>
      <c r="E178">
        <v>5</v>
      </c>
      <c r="F178">
        <v>31</v>
      </c>
      <c r="G178">
        <v>12</v>
      </c>
      <c r="H178">
        <v>1</v>
      </c>
      <c r="I178">
        <v>2</v>
      </c>
      <c r="J178">
        <v>22.746507640000001</v>
      </c>
      <c r="K178">
        <v>16.19340515</v>
      </c>
      <c r="N178">
        <v>0</v>
      </c>
      <c r="O178">
        <v>0</v>
      </c>
    </row>
    <row r="179" spans="1:15">
      <c r="A179">
        <v>-2.02171783</v>
      </c>
      <c r="B179">
        <v>-0.22148072499999999</v>
      </c>
      <c r="C179">
        <v>-1.010858915</v>
      </c>
      <c r="D179">
        <v>-1.579606125</v>
      </c>
      <c r="E179">
        <v>6</v>
      </c>
      <c r="F179">
        <v>33</v>
      </c>
      <c r="G179">
        <v>12</v>
      </c>
      <c r="H179">
        <v>1</v>
      </c>
      <c r="I179">
        <v>0</v>
      </c>
      <c r="J179">
        <v>8.2447261810000008</v>
      </c>
      <c r="K179">
        <v>7.4696931839999996</v>
      </c>
      <c r="N179">
        <v>0</v>
      </c>
      <c r="O179">
        <v>0</v>
      </c>
    </row>
    <row r="180" spans="1:15">
      <c r="A180">
        <v>-0.16054595099999999</v>
      </c>
      <c r="B180">
        <v>0.206208576</v>
      </c>
      <c r="C180">
        <v>-8.0272974999999996E-2</v>
      </c>
      <c r="D180">
        <v>3.3587756000000003E-2</v>
      </c>
      <c r="E180">
        <v>7</v>
      </c>
      <c r="F180">
        <v>48</v>
      </c>
      <c r="G180">
        <v>10</v>
      </c>
      <c r="H180">
        <v>1</v>
      </c>
      <c r="I180">
        <v>0</v>
      </c>
      <c r="J180">
        <v>32.103054049999997</v>
      </c>
      <c r="K180">
        <v>19.636724470000001</v>
      </c>
      <c r="L180">
        <v>19.636724470000001</v>
      </c>
      <c r="M180">
        <v>2.9774014950000001</v>
      </c>
      <c r="N180">
        <v>1</v>
      </c>
      <c r="O180">
        <v>2.9774014950000001</v>
      </c>
    </row>
    <row r="181" spans="1:15">
      <c r="A181">
        <v>3.5872669000000003E-2</v>
      </c>
      <c r="B181">
        <v>-0.81441262299999995</v>
      </c>
      <c r="C181">
        <v>1.7936334000000002E-2</v>
      </c>
      <c r="D181">
        <v>-0.55346983100000002</v>
      </c>
      <c r="E181">
        <v>8</v>
      </c>
      <c r="F181">
        <v>49</v>
      </c>
      <c r="G181">
        <v>12</v>
      </c>
      <c r="H181">
        <v>1</v>
      </c>
      <c r="I181">
        <v>3</v>
      </c>
      <c r="J181">
        <v>41.958362579999999</v>
      </c>
      <c r="K181">
        <v>23.0152359</v>
      </c>
      <c r="L181">
        <v>23.0152359</v>
      </c>
      <c r="M181">
        <v>3.1361563210000001</v>
      </c>
      <c r="N181">
        <v>1</v>
      </c>
      <c r="O181">
        <v>3.1361563210000001</v>
      </c>
    </row>
    <row r="182" spans="1:15">
      <c r="A182">
        <v>0.67368326000000001</v>
      </c>
      <c r="B182">
        <v>-0.476274643</v>
      </c>
      <c r="C182">
        <v>0.33684163</v>
      </c>
      <c r="D182">
        <v>0.13548755800000001</v>
      </c>
      <c r="E182">
        <v>9</v>
      </c>
      <c r="F182">
        <v>47</v>
      </c>
      <c r="G182">
        <v>12</v>
      </c>
      <c r="H182">
        <v>1</v>
      </c>
      <c r="I182">
        <v>5</v>
      </c>
      <c r="J182">
        <v>59.425849909999997</v>
      </c>
      <c r="K182">
        <v>26.442098619999999</v>
      </c>
      <c r="L182">
        <v>26.442098619999999</v>
      </c>
      <c r="M182">
        <v>3.2749574180000001</v>
      </c>
      <c r="N182">
        <v>1</v>
      </c>
      <c r="O182">
        <v>3.2749574180000001</v>
      </c>
    </row>
    <row r="183" spans="1:15">
      <c r="A183">
        <v>9.6437141000000004E-2</v>
      </c>
      <c r="B183">
        <v>2.2835566630000002</v>
      </c>
      <c r="C183">
        <v>4.8218570000000002E-2</v>
      </c>
      <c r="D183">
        <v>1.690490753</v>
      </c>
      <c r="E183">
        <v>0</v>
      </c>
      <c r="F183">
        <v>41</v>
      </c>
      <c r="G183">
        <v>12</v>
      </c>
      <c r="H183">
        <v>0</v>
      </c>
      <c r="I183">
        <v>1</v>
      </c>
      <c r="J183">
        <v>50.685890200000003</v>
      </c>
      <c r="K183">
        <v>21.778623580000001</v>
      </c>
      <c r="L183">
        <v>21.778623580000001</v>
      </c>
      <c r="M183">
        <v>3.0809288019999999</v>
      </c>
      <c r="N183">
        <v>1</v>
      </c>
      <c r="O183">
        <v>3.0809288019999999</v>
      </c>
    </row>
    <row r="184" spans="1:15">
      <c r="A184">
        <v>-0.178652064</v>
      </c>
      <c r="B184">
        <v>-2.7868224E-2</v>
      </c>
      <c r="C184">
        <v>-8.9326032E-2</v>
      </c>
      <c r="D184">
        <v>-0.14547972200000001</v>
      </c>
      <c r="E184">
        <v>1</v>
      </c>
      <c r="F184">
        <v>43</v>
      </c>
      <c r="G184">
        <v>10</v>
      </c>
      <c r="H184">
        <v>1</v>
      </c>
      <c r="I184">
        <v>1</v>
      </c>
      <c r="J184">
        <v>32.954242710000003</v>
      </c>
      <c r="K184">
        <v>18.528087620000001</v>
      </c>
      <c r="L184">
        <v>18.528087620000001</v>
      </c>
      <c r="M184">
        <v>2.9192879199999999</v>
      </c>
      <c r="N184">
        <v>1</v>
      </c>
      <c r="O184">
        <v>2.9192879199999999</v>
      </c>
    </row>
    <row r="185" spans="1:15">
      <c r="A185">
        <v>-1.3083112539999999</v>
      </c>
      <c r="B185">
        <v>-0.2544788</v>
      </c>
      <c r="C185">
        <v>-0.65415562699999996</v>
      </c>
      <c r="D185">
        <v>-1.101190771</v>
      </c>
      <c r="E185">
        <v>2</v>
      </c>
      <c r="F185">
        <v>46</v>
      </c>
      <c r="G185">
        <v>10</v>
      </c>
      <c r="H185">
        <v>1</v>
      </c>
      <c r="I185">
        <v>0</v>
      </c>
      <c r="J185">
        <v>17.685710910000001</v>
      </c>
      <c r="K185">
        <v>12.35013294</v>
      </c>
      <c r="N185">
        <v>0</v>
      </c>
      <c r="O185">
        <v>0</v>
      </c>
    </row>
    <row r="186" spans="1:15">
      <c r="A186">
        <v>1.6655360749999999</v>
      </c>
      <c r="B186">
        <v>9.2016730000000005E-2</v>
      </c>
      <c r="C186">
        <v>0.83276803700000002</v>
      </c>
      <c r="D186">
        <v>1.23704692</v>
      </c>
      <c r="E186">
        <v>3</v>
      </c>
      <c r="F186">
        <v>36</v>
      </c>
      <c r="G186">
        <v>10</v>
      </c>
      <c r="H186">
        <v>0</v>
      </c>
      <c r="I186">
        <v>1</v>
      </c>
      <c r="J186">
        <v>41.744564060000002</v>
      </c>
      <c r="K186">
        <v>28.193216320000001</v>
      </c>
      <c r="L186">
        <v>28.193216320000001</v>
      </c>
      <c r="M186">
        <v>3.339081287</v>
      </c>
      <c r="N186">
        <v>1</v>
      </c>
      <c r="O186">
        <v>3.339081287</v>
      </c>
    </row>
    <row r="187" spans="1:15">
      <c r="A187">
        <v>-0.39463812300000001</v>
      </c>
      <c r="B187">
        <v>-5.2821624999999997E-2</v>
      </c>
      <c r="C187">
        <v>-0.19731906199999999</v>
      </c>
      <c r="D187">
        <v>-0.31515173200000002</v>
      </c>
      <c r="E187">
        <v>4</v>
      </c>
      <c r="F187">
        <v>30</v>
      </c>
      <c r="G187">
        <v>16</v>
      </c>
      <c r="H187">
        <v>0</v>
      </c>
      <c r="I187">
        <v>1</v>
      </c>
      <c r="J187">
        <v>25.2181797</v>
      </c>
      <c r="K187">
        <v>20.632171629999998</v>
      </c>
      <c r="N187">
        <v>0</v>
      </c>
      <c r="O187">
        <v>0</v>
      </c>
    </row>
    <row r="188" spans="1:15">
      <c r="A188">
        <v>0.70637226799999997</v>
      </c>
      <c r="B188">
        <v>-0.50989927800000001</v>
      </c>
      <c r="C188">
        <v>0.35318613399999998</v>
      </c>
      <c r="D188">
        <v>0.13459043900000001</v>
      </c>
      <c r="E188">
        <v>5</v>
      </c>
      <c r="F188">
        <v>37</v>
      </c>
      <c r="G188">
        <v>16</v>
      </c>
      <c r="H188">
        <v>1</v>
      </c>
      <c r="I188">
        <v>1</v>
      </c>
      <c r="J188">
        <v>38.415084839999999</v>
      </c>
      <c r="K188">
        <v>28.63823318</v>
      </c>
      <c r="L188">
        <v>28.63823318</v>
      </c>
      <c r="M188">
        <v>3.3547427650000001</v>
      </c>
      <c r="N188">
        <v>1</v>
      </c>
      <c r="O188">
        <v>3.3547427650000001</v>
      </c>
    </row>
    <row r="189" spans="1:15">
      <c r="A189">
        <v>1.733467528</v>
      </c>
      <c r="B189">
        <v>-0.47012514100000002</v>
      </c>
      <c r="C189">
        <v>0.86673376400000002</v>
      </c>
      <c r="D189">
        <v>0.88538817000000003</v>
      </c>
      <c r="E189">
        <v>6</v>
      </c>
      <c r="F189">
        <v>40</v>
      </c>
      <c r="G189">
        <v>12</v>
      </c>
      <c r="H189">
        <v>1</v>
      </c>
      <c r="I189">
        <v>4</v>
      </c>
      <c r="J189">
        <v>60.624656680000001</v>
      </c>
      <c r="K189">
        <v>31.400804520000001</v>
      </c>
      <c r="L189">
        <v>31.400804520000001</v>
      </c>
      <c r="M189">
        <v>3.4468336110000002</v>
      </c>
      <c r="N189">
        <v>1</v>
      </c>
      <c r="O189">
        <v>3.4468336110000002</v>
      </c>
    </row>
    <row r="190" spans="1:15">
      <c r="A190">
        <v>-0.95674512599999995</v>
      </c>
      <c r="B190">
        <v>0.99512928099999998</v>
      </c>
      <c r="C190">
        <v>-0.47837256299999997</v>
      </c>
      <c r="D190">
        <v>3.4073452999999997E-2</v>
      </c>
      <c r="E190">
        <v>7</v>
      </c>
      <c r="F190">
        <v>41</v>
      </c>
      <c r="G190">
        <v>16</v>
      </c>
      <c r="H190">
        <v>1</v>
      </c>
      <c r="I190">
        <v>2</v>
      </c>
      <c r="J190">
        <v>43.808879849999997</v>
      </c>
      <c r="K190">
        <v>19.459529880000002</v>
      </c>
      <c r="L190">
        <v>19.459529880000002</v>
      </c>
      <c r="M190">
        <v>2.9683368209999998</v>
      </c>
      <c r="N190">
        <v>1</v>
      </c>
      <c r="O190">
        <v>2.9683368209999998</v>
      </c>
    </row>
    <row r="191" spans="1:15">
      <c r="A191">
        <v>0.47163165699999998</v>
      </c>
      <c r="B191">
        <v>7.3718145999999998E-2</v>
      </c>
      <c r="C191">
        <v>0.235815829</v>
      </c>
      <c r="D191">
        <v>0.38416334800000002</v>
      </c>
      <c r="E191">
        <v>8</v>
      </c>
      <c r="F191">
        <v>37</v>
      </c>
      <c r="G191">
        <v>12</v>
      </c>
      <c r="H191">
        <v>1</v>
      </c>
      <c r="I191">
        <v>3</v>
      </c>
      <c r="J191">
        <v>48.409961699999997</v>
      </c>
      <c r="K191">
        <v>23.22978973</v>
      </c>
      <c r="L191">
        <v>23.22978973</v>
      </c>
      <c r="M191">
        <v>3.1454355719999998</v>
      </c>
      <c r="N191">
        <v>1</v>
      </c>
      <c r="O191">
        <v>3.1454355719999998</v>
      </c>
    </row>
    <row r="192" spans="1:15">
      <c r="A192">
        <v>0.94659283100000002</v>
      </c>
      <c r="B192">
        <v>-1.7116078370000001</v>
      </c>
      <c r="C192">
        <v>0.473296416</v>
      </c>
      <c r="D192">
        <v>-0.55033066900000005</v>
      </c>
      <c r="E192">
        <v>9</v>
      </c>
      <c r="F192">
        <v>40</v>
      </c>
      <c r="G192">
        <v>16</v>
      </c>
      <c r="H192">
        <v>1</v>
      </c>
      <c r="I192">
        <v>2</v>
      </c>
      <c r="J192">
        <v>36.396030430000003</v>
      </c>
      <c r="K192">
        <v>30.679557800000001</v>
      </c>
      <c r="L192">
        <v>30.679557800000001</v>
      </c>
      <c r="M192">
        <v>3.4235966210000002</v>
      </c>
      <c r="N192">
        <v>1</v>
      </c>
      <c r="O192">
        <v>3.4235966210000002</v>
      </c>
    </row>
    <row r="193" spans="1:15">
      <c r="A193">
        <v>1.1413739469999999</v>
      </c>
      <c r="B193">
        <v>1.401923E-3</v>
      </c>
      <c r="C193">
        <v>0.57068697300000004</v>
      </c>
      <c r="D193">
        <v>0.80392331100000003</v>
      </c>
      <c r="E193">
        <v>0</v>
      </c>
      <c r="F193">
        <v>23</v>
      </c>
      <c r="G193">
        <v>16</v>
      </c>
      <c r="H193">
        <v>0</v>
      </c>
      <c r="I193">
        <v>3</v>
      </c>
      <c r="J193">
        <v>45.847080230000003</v>
      </c>
      <c r="K193">
        <v>28.448244089999999</v>
      </c>
      <c r="L193">
        <v>28.448244089999999</v>
      </c>
      <c r="M193">
        <v>3.3480863570000001</v>
      </c>
      <c r="N193">
        <v>1</v>
      </c>
      <c r="O193">
        <v>3.3480863570000001</v>
      </c>
    </row>
    <row r="194" spans="1:15">
      <c r="A194">
        <v>0.76909763799999997</v>
      </c>
      <c r="B194">
        <v>-0.87620366400000005</v>
      </c>
      <c r="C194">
        <v>0.38454881899999999</v>
      </c>
      <c r="D194">
        <v>-8.1572455000000002E-2</v>
      </c>
      <c r="E194">
        <v>1</v>
      </c>
      <c r="F194">
        <v>30</v>
      </c>
      <c r="G194">
        <v>10</v>
      </c>
      <c r="H194">
        <v>1</v>
      </c>
      <c r="I194">
        <v>1</v>
      </c>
      <c r="J194">
        <v>28.521129609999999</v>
      </c>
      <c r="K194">
        <v>21.61458588</v>
      </c>
      <c r="N194">
        <v>0</v>
      </c>
      <c r="O194">
        <v>0</v>
      </c>
    </row>
    <row r="195" spans="1:15">
      <c r="A195">
        <v>-1.210585649</v>
      </c>
      <c r="B195">
        <v>-0.83997693500000004</v>
      </c>
      <c r="C195">
        <v>-0.60529282500000003</v>
      </c>
      <c r="D195">
        <v>-1.4484865979999999</v>
      </c>
      <c r="E195">
        <v>2</v>
      </c>
      <c r="F195">
        <v>31</v>
      </c>
      <c r="G195">
        <v>16</v>
      </c>
      <c r="H195">
        <v>1</v>
      </c>
      <c r="I195">
        <v>0</v>
      </c>
      <c r="J195">
        <v>12.01816082</v>
      </c>
      <c r="K195">
        <v>15.936486240000001</v>
      </c>
      <c r="N195">
        <v>0</v>
      </c>
      <c r="O195">
        <v>0</v>
      </c>
    </row>
    <row r="196" spans="1:15">
      <c r="A196">
        <v>0.71524630700000003</v>
      </c>
      <c r="B196">
        <v>-1.469161709</v>
      </c>
      <c r="C196">
        <v>0.357623154</v>
      </c>
      <c r="D196">
        <v>-0.54079960900000001</v>
      </c>
      <c r="E196">
        <v>3</v>
      </c>
      <c r="F196">
        <v>40</v>
      </c>
      <c r="G196">
        <v>16</v>
      </c>
      <c r="H196">
        <v>0</v>
      </c>
      <c r="I196">
        <v>1</v>
      </c>
      <c r="J196">
        <v>26.51040459</v>
      </c>
      <c r="K196">
        <v>29.291477199999999</v>
      </c>
      <c r="N196">
        <v>0</v>
      </c>
      <c r="O196">
        <v>0</v>
      </c>
    </row>
    <row r="197" spans="1:15">
      <c r="A197">
        <v>-0.38786520000000002</v>
      </c>
      <c r="B197">
        <v>0.13395631599999999</v>
      </c>
      <c r="C197">
        <v>-0.19393260000000001</v>
      </c>
      <c r="D197">
        <v>-0.17766648400000001</v>
      </c>
      <c r="E197">
        <v>4</v>
      </c>
      <c r="F197">
        <v>40</v>
      </c>
      <c r="G197">
        <v>10</v>
      </c>
      <c r="H197">
        <v>1</v>
      </c>
      <c r="I197">
        <v>2</v>
      </c>
      <c r="J197">
        <v>36.368003850000001</v>
      </c>
      <c r="K197">
        <v>16.672809600000001</v>
      </c>
      <c r="L197">
        <v>16.672809600000001</v>
      </c>
      <c r="M197">
        <v>2.8137791160000001</v>
      </c>
      <c r="N197">
        <v>1</v>
      </c>
      <c r="O197">
        <v>2.8137791160000001</v>
      </c>
    </row>
    <row r="198" spans="1:15">
      <c r="A198">
        <v>-0.13131288699999999</v>
      </c>
      <c r="B198">
        <v>-0.28834977299999998</v>
      </c>
      <c r="C198">
        <v>-6.5656442999999995E-2</v>
      </c>
      <c r="D198">
        <v>-0.29727081300000002</v>
      </c>
      <c r="E198">
        <v>5</v>
      </c>
      <c r="F198">
        <v>56</v>
      </c>
      <c r="G198">
        <v>20</v>
      </c>
      <c r="H198">
        <v>1</v>
      </c>
      <c r="I198">
        <v>0</v>
      </c>
      <c r="J198">
        <v>38.832748410000001</v>
      </c>
      <c r="K198">
        <v>31.41212273</v>
      </c>
      <c r="L198">
        <v>31.41212273</v>
      </c>
      <c r="M198">
        <v>3.4471938610000001</v>
      </c>
      <c r="N198">
        <v>1</v>
      </c>
      <c r="O198">
        <v>3.4471938610000001</v>
      </c>
    </row>
    <row r="199" spans="1:15">
      <c r="A199">
        <v>-0.34238799599999997</v>
      </c>
      <c r="B199">
        <v>0.31140564399999998</v>
      </c>
      <c r="C199">
        <v>-0.17119399799999999</v>
      </c>
      <c r="D199">
        <v>-1.9582499E-2</v>
      </c>
      <c r="E199">
        <v>6</v>
      </c>
      <c r="F199">
        <v>37</v>
      </c>
      <c r="G199">
        <v>20</v>
      </c>
      <c r="H199">
        <v>1</v>
      </c>
      <c r="I199">
        <v>0</v>
      </c>
      <c r="J199">
        <v>34.56501007</v>
      </c>
      <c r="K199">
        <v>26.345672610000001</v>
      </c>
      <c r="L199">
        <v>26.345672610000001</v>
      </c>
      <c r="M199">
        <v>3.2713041309999999</v>
      </c>
      <c r="N199">
        <v>1</v>
      </c>
      <c r="O199">
        <v>3.2713041309999999</v>
      </c>
    </row>
    <row r="200" spans="1:15">
      <c r="A200">
        <v>0.491633863</v>
      </c>
      <c r="B200">
        <v>7.6155009999999995E-2</v>
      </c>
      <c r="C200">
        <v>0.24581693099999999</v>
      </c>
      <c r="D200">
        <v>0.39996597</v>
      </c>
      <c r="E200">
        <v>7</v>
      </c>
      <c r="F200">
        <v>42</v>
      </c>
      <c r="G200">
        <v>20</v>
      </c>
      <c r="H200">
        <v>1</v>
      </c>
      <c r="I200">
        <v>0</v>
      </c>
      <c r="J200">
        <v>41.599590300000003</v>
      </c>
      <c r="K200">
        <v>32.349803919999999</v>
      </c>
      <c r="L200">
        <v>32.349803919999999</v>
      </c>
      <c r="M200">
        <v>3.4766080380000002</v>
      </c>
      <c r="N200">
        <v>1</v>
      </c>
      <c r="O200">
        <v>3.4766080380000002</v>
      </c>
    </row>
    <row r="201" spans="1:15">
      <c r="A201">
        <v>0.59531155700000005</v>
      </c>
      <c r="B201">
        <v>-0.25200083000000001</v>
      </c>
      <c r="C201">
        <v>0.29765577900000001</v>
      </c>
      <c r="D201">
        <v>0.23971957399999999</v>
      </c>
      <c r="E201">
        <v>8</v>
      </c>
      <c r="F201">
        <v>42</v>
      </c>
      <c r="G201">
        <v>20</v>
      </c>
      <c r="H201">
        <v>1</v>
      </c>
      <c r="I201">
        <v>2</v>
      </c>
      <c r="J201">
        <v>49.676635740000002</v>
      </c>
      <c r="K201">
        <v>32.971870420000002</v>
      </c>
      <c r="L201">
        <v>32.971870420000002</v>
      </c>
      <c r="M201">
        <v>3.495654821</v>
      </c>
      <c r="N201">
        <v>1</v>
      </c>
      <c r="O201">
        <v>3.495654821</v>
      </c>
    </row>
    <row r="202" spans="1:15">
      <c r="A202">
        <v>-0.29967621999999999</v>
      </c>
      <c r="B202">
        <v>1.5737604700000001</v>
      </c>
      <c r="C202">
        <v>-0.14983811</v>
      </c>
      <c r="D202">
        <v>0.90746823600000004</v>
      </c>
      <c r="E202">
        <v>9</v>
      </c>
      <c r="F202">
        <v>41</v>
      </c>
      <c r="G202">
        <v>16</v>
      </c>
      <c r="H202">
        <v>1</v>
      </c>
      <c r="I202">
        <v>0</v>
      </c>
      <c r="J202">
        <v>44.289619450000004</v>
      </c>
      <c r="K202">
        <v>23.401943209999999</v>
      </c>
      <c r="L202">
        <v>23.401943209999999</v>
      </c>
      <c r="M202">
        <v>3.1528191570000001</v>
      </c>
      <c r="N202">
        <v>1</v>
      </c>
      <c r="O202">
        <v>3.1528191570000001</v>
      </c>
    </row>
    <row r="203" spans="1:15">
      <c r="A203">
        <v>-0.490612306</v>
      </c>
      <c r="B203">
        <v>0.27725586899999999</v>
      </c>
      <c r="C203">
        <v>-0.245306153</v>
      </c>
      <c r="D203">
        <v>-0.14812062600000001</v>
      </c>
      <c r="E203">
        <v>0</v>
      </c>
      <c r="F203">
        <v>49</v>
      </c>
      <c r="G203">
        <v>10</v>
      </c>
      <c r="H203">
        <v>0</v>
      </c>
      <c r="I203">
        <v>0</v>
      </c>
      <c r="J203">
        <v>25.322551730000001</v>
      </c>
      <c r="K203">
        <v>17.856327060000002</v>
      </c>
      <c r="N203">
        <v>0</v>
      </c>
      <c r="O203">
        <v>0</v>
      </c>
    </row>
    <row r="204" spans="1:15">
      <c r="A204">
        <v>0.86903441100000001</v>
      </c>
      <c r="B204">
        <v>0.38156136499999999</v>
      </c>
      <c r="C204">
        <v>0.43451720500000002</v>
      </c>
      <c r="D204">
        <v>0.88247317199999997</v>
      </c>
      <c r="E204">
        <v>1</v>
      </c>
      <c r="F204">
        <v>38</v>
      </c>
      <c r="G204">
        <v>10</v>
      </c>
      <c r="H204">
        <v>0</v>
      </c>
      <c r="I204">
        <v>1</v>
      </c>
      <c r="J204">
        <v>38.289676669999999</v>
      </c>
      <c r="K204">
        <v>23.814207079999999</v>
      </c>
      <c r="L204">
        <v>23.814207079999999</v>
      </c>
      <c r="M204">
        <v>3.1702823640000002</v>
      </c>
      <c r="N204">
        <v>1</v>
      </c>
      <c r="O204">
        <v>3.1702823640000002</v>
      </c>
    </row>
    <row r="205" spans="1:15">
      <c r="A205">
        <v>3.3712562000000001E-2</v>
      </c>
      <c r="B205">
        <v>1.846019268</v>
      </c>
      <c r="C205">
        <v>1.6856281000000001E-2</v>
      </c>
      <c r="D205">
        <v>1.3354603039999999</v>
      </c>
      <c r="E205">
        <v>2</v>
      </c>
      <c r="F205">
        <v>25</v>
      </c>
      <c r="G205">
        <v>12</v>
      </c>
      <c r="H205">
        <v>0</v>
      </c>
      <c r="I205">
        <v>1</v>
      </c>
      <c r="J205">
        <v>40.025524140000002</v>
      </c>
      <c r="K205">
        <v>18.202276229999999</v>
      </c>
      <c r="L205">
        <v>18.202276229999999</v>
      </c>
      <c r="M205">
        <v>2.901546717</v>
      </c>
      <c r="N205">
        <v>1</v>
      </c>
      <c r="O205">
        <v>2.901546717</v>
      </c>
    </row>
    <row r="206" spans="1:15">
      <c r="A206">
        <v>0.63210016300000005</v>
      </c>
      <c r="B206">
        <v>-0.36963755199999998</v>
      </c>
      <c r="C206">
        <v>0.31605008200000001</v>
      </c>
      <c r="D206">
        <v>0.182009107</v>
      </c>
      <c r="E206">
        <v>3</v>
      </c>
      <c r="F206">
        <v>27</v>
      </c>
      <c r="G206">
        <v>12</v>
      </c>
      <c r="H206">
        <v>1</v>
      </c>
      <c r="I206">
        <v>0</v>
      </c>
      <c r="J206">
        <v>26.984109879999998</v>
      </c>
      <c r="K206">
        <v>22.192600250000002</v>
      </c>
      <c r="N206">
        <v>0</v>
      </c>
      <c r="O206">
        <v>0</v>
      </c>
    </row>
    <row r="207" spans="1:15">
      <c r="A207">
        <v>1.0332851089999999</v>
      </c>
      <c r="B207">
        <v>-0.15313597500000001</v>
      </c>
      <c r="C207">
        <v>0.51664255400000003</v>
      </c>
      <c r="D207">
        <v>0.61807406099999995</v>
      </c>
      <c r="E207">
        <v>4</v>
      </c>
      <c r="F207">
        <v>30</v>
      </c>
      <c r="G207">
        <v>12</v>
      </c>
      <c r="H207">
        <v>0</v>
      </c>
      <c r="I207">
        <v>1</v>
      </c>
      <c r="J207">
        <v>33.416889189999999</v>
      </c>
      <c r="K207">
        <v>25.199710849999999</v>
      </c>
      <c r="L207">
        <v>25.199710849999999</v>
      </c>
      <c r="M207">
        <v>3.2268326279999999</v>
      </c>
      <c r="N207">
        <v>1</v>
      </c>
      <c r="O207">
        <v>3.2268326279999999</v>
      </c>
    </row>
    <row r="208" spans="1:15">
      <c r="A208">
        <v>2.0452539230000002</v>
      </c>
      <c r="B208">
        <v>-0.57741558999999998</v>
      </c>
      <c r="C208">
        <v>1.0226269610000001</v>
      </c>
      <c r="D208">
        <v>1.0284834089999999</v>
      </c>
      <c r="E208">
        <v>5</v>
      </c>
      <c r="F208">
        <v>42</v>
      </c>
      <c r="G208">
        <v>16</v>
      </c>
      <c r="H208">
        <v>1</v>
      </c>
      <c r="I208">
        <v>2</v>
      </c>
      <c r="J208">
        <v>56.141799929999998</v>
      </c>
      <c r="K208">
        <v>37.671524050000002</v>
      </c>
      <c r="L208">
        <v>37.671524050000002</v>
      </c>
      <c r="M208">
        <v>3.628904581</v>
      </c>
      <c r="N208">
        <v>1</v>
      </c>
      <c r="O208">
        <v>3.628904581</v>
      </c>
    </row>
    <row r="209" spans="1:15">
      <c r="A209">
        <v>-0.25739518700000003</v>
      </c>
      <c r="B209">
        <v>1.4322933200000001</v>
      </c>
      <c r="C209">
        <v>-0.128697593</v>
      </c>
      <c r="D209">
        <v>0.83668812299999995</v>
      </c>
      <c r="E209">
        <v>6</v>
      </c>
      <c r="F209">
        <v>42</v>
      </c>
      <c r="G209">
        <v>12</v>
      </c>
      <c r="H209">
        <v>1</v>
      </c>
      <c r="I209">
        <v>0</v>
      </c>
      <c r="J209">
        <v>40.840255740000003</v>
      </c>
      <c r="K209">
        <v>19.855628970000001</v>
      </c>
      <c r="L209">
        <v>19.855628970000001</v>
      </c>
      <c r="M209">
        <v>2.988487482</v>
      </c>
      <c r="N209">
        <v>1</v>
      </c>
      <c r="O209">
        <v>2.988487482</v>
      </c>
    </row>
    <row r="210" spans="1:15">
      <c r="A210">
        <v>1.3010809969999999</v>
      </c>
      <c r="B210">
        <v>1.09444392</v>
      </c>
      <c r="C210">
        <v>0.65054049899999999</v>
      </c>
      <c r="D210">
        <v>1.6929668929999999</v>
      </c>
      <c r="E210">
        <v>7</v>
      </c>
      <c r="F210">
        <v>44</v>
      </c>
      <c r="G210">
        <v>12</v>
      </c>
      <c r="H210">
        <v>1</v>
      </c>
      <c r="I210">
        <v>1</v>
      </c>
      <c r="J210">
        <v>56.91560364</v>
      </c>
      <c r="K210">
        <v>29.606485370000001</v>
      </c>
      <c r="L210">
        <v>29.606485370000001</v>
      </c>
      <c r="M210">
        <v>3.3879933360000001</v>
      </c>
      <c r="N210">
        <v>1</v>
      </c>
      <c r="O210">
        <v>3.3879933360000001</v>
      </c>
    </row>
    <row r="211" spans="1:15">
      <c r="A211">
        <v>0.10553198799999999</v>
      </c>
      <c r="B211">
        <v>-0.96565195800000003</v>
      </c>
      <c r="C211">
        <v>5.2765993999999997E-2</v>
      </c>
      <c r="D211">
        <v>-0.61193394499999998</v>
      </c>
      <c r="E211">
        <v>8</v>
      </c>
      <c r="F211">
        <v>36</v>
      </c>
      <c r="G211">
        <v>12</v>
      </c>
      <c r="H211">
        <v>1</v>
      </c>
      <c r="I211">
        <v>0</v>
      </c>
      <c r="J211">
        <v>21.056793209999999</v>
      </c>
      <c r="K211">
        <v>20.833192830000002</v>
      </c>
      <c r="N211">
        <v>0</v>
      </c>
      <c r="O211">
        <v>0</v>
      </c>
    </row>
    <row r="212" spans="1:15">
      <c r="A212">
        <v>0.74420670200000005</v>
      </c>
      <c r="B212">
        <v>-0.122882197</v>
      </c>
      <c r="C212">
        <v>0.37210335100000003</v>
      </c>
      <c r="D212">
        <v>0.43621258699999998</v>
      </c>
      <c r="E212">
        <v>9</v>
      </c>
      <c r="F212">
        <v>54</v>
      </c>
      <c r="G212">
        <v>12</v>
      </c>
      <c r="H212">
        <v>1</v>
      </c>
      <c r="I212">
        <v>2</v>
      </c>
      <c r="J212">
        <v>50.834552760000001</v>
      </c>
      <c r="K212">
        <v>28.26523972</v>
      </c>
      <c r="L212">
        <v>28.26523972</v>
      </c>
      <c r="M212">
        <v>3.3416328430000002</v>
      </c>
      <c r="N212">
        <v>1</v>
      </c>
      <c r="O212">
        <v>3.3416328430000002</v>
      </c>
    </row>
    <row r="213" spans="1:15">
      <c r="A213">
        <v>-0.33789025900000003</v>
      </c>
      <c r="B213">
        <v>-0.79626045199999995</v>
      </c>
      <c r="C213">
        <v>-0.168945129</v>
      </c>
      <c r="D213">
        <v>-0.80350383999999997</v>
      </c>
      <c r="E213">
        <v>0</v>
      </c>
      <c r="F213">
        <v>38</v>
      </c>
      <c r="G213">
        <v>10</v>
      </c>
      <c r="H213">
        <v>0</v>
      </c>
      <c r="I213">
        <v>1</v>
      </c>
      <c r="J213">
        <v>18.05795479</v>
      </c>
      <c r="K213">
        <v>16.572658539999999</v>
      </c>
      <c r="N213">
        <v>0</v>
      </c>
      <c r="O213">
        <v>0</v>
      </c>
    </row>
    <row r="214" spans="1:15">
      <c r="A214">
        <v>-3.4729380999999997E-2</v>
      </c>
      <c r="B214">
        <v>-1.3156936930000001</v>
      </c>
      <c r="C214">
        <v>-1.7364689999999999E-2</v>
      </c>
      <c r="D214">
        <v>-0.95933685800000001</v>
      </c>
      <c r="E214">
        <v>1</v>
      </c>
      <c r="F214">
        <v>22</v>
      </c>
      <c r="G214">
        <v>12</v>
      </c>
      <c r="H214">
        <v>0</v>
      </c>
      <c r="I214">
        <v>2</v>
      </c>
      <c r="J214">
        <v>16.287958150000001</v>
      </c>
      <c r="K214">
        <v>17.19162369</v>
      </c>
      <c r="N214">
        <v>0</v>
      </c>
      <c r="O214">
        <v>0</v>
      </c>
    </row>
    <row r="215" spans="1:15">
      <c r="A215">
        <v>-0.82194287899999996</v>
      </c>
      <c r="B215">
        <v>-1.5295857239999999</v>
      </c>
      <c r="C215">
        <v>-0.41097143899999999</v>
      </c>
      <c r="D215">
        <v>-1.665108652</v>
      </c>
      <c r="E215">
        <v>2</v>
      </c>
      <c r="F215">
        <v>50</v>
      </c>
      <c r="G215">
        <v>10</v>
      </c>
      <c r="H215">
        <v>0</v>
      </c>
      <c r="I215">
        <v>1</v>
      </c>
      <c r="J215">
        <v>12.51869583</v>
      </c>
      <c r="K215">
        <v>16.068342210000001</v>
      </c>
      <c r="N215">
        <v>0</v>
      </c>
      <c r="O215">
        <v>0</v>
      </c>
    </row>
    <row r="216" spans="1:15">
      <c r="A216">
        <v>-0.28991777800000001</v>
      </c>
      <c r="B216">
        <v>-0.94714711600000001</v>
      </c>
      <c r="C216">
        <v>-0.14495888900000001</v>
      </c>
      <c r="D216">
        <v>-0.87697348399999997</v>
      </c>
      <c r="E216">
        <v>3</v>
      </c>
      <c r="F216">
        <v>29</v>
      </c>
      <c r="G216">
        <v>10</v>
      </c>
      <c r="H216">
        <v>1</v>
      </c>
      <c r="I216">
        <v>1</v>
      </c>
      <c r="J216">
        <v>18.576318740000001</v>
      </c>
      <c r="K216">
        <v>15.060493470000001</v>
      </c>
      <c r="N216">
        <v>0</v>
      </c>
      <c r="O216">
        <v>0</v>
      </c>
    </row>
    <row r="217" spans="1:15">
      <c r="A217">
        <v>0.14926413399999999</v>
      </c>
      <c r="B217">
        <v>1.7001296260000001</v>
      </c>
      <c r="C217">
        <v>7.4632066999999996E-2</v>
      </c>
      <c r="D217">
        <v>1.3130815920000001</v>
      </c>
      <c r="E217">
        <v>4</v>
      </c>
      <c r="F217">
        <v>28</v>
      </c>
      <c r="G217">
        <v>12</v>
      </c>
      <c r="H217">
        <v>1</v>
      </c>
      <c r="I217">
        <v>2</v>
      </c>
      <c r="J217">
        <v>50.95697784</v>
      </c>
      <c r="K217">
        <v>19.495584489999999</v>
      </c>
      <c r="L217">
        <v>19.495584489999999</v>
      </c>
      <c r="M217">
        <v>2.9701879020000002</v>
      </c>
      <c r="N217">
        <v>1</v>
      </c>
      <c r="O217">
        <v>2.9701879020000002</v>
      </c>
    </row>
    <row r="218" spans="1:15">
      <c r="A218">
        <v>0.72768934600000001</v>
      </c>
      <c r="B218">
        <v>-1.4033636E-2</v>
      </c>
      <c r="C218">
        <v>0.36384467300000001</v>
      </c>
      <c r="D218">
        <v>0.50193866499999995</v>
      </c>
      <c r="E218">
        <v>5</v>
      </c>
      <c r="F218">
        <v>30</v>
      </c>
      <c r="G218">
        <v>10</v>
      </c>
      <c r="H218">
        <v>1</v>
      </c>
      <c r="I218">
        <v>0</v>
      </c>
      <c r="J218">
        <v>30.523263929999999</v>
      </c>
      <c r="K218">
        <v>21.36613655</v>
      </c>
      <c r="L218">
        <v>21.36613655</v>
      </c>
      <c r="M218">
        <v>3.061807156</v>
      </c>
      <c r="N218">
        <v>1</v>
      </c>
      <c r="O218">
        <v>3.061807156</v>
      </c>
    </row>
    <row r="219" spans="1:15">
      <c r="A219">
        <v>-0.15821120299999999</v>
      </c>
      <c r="B219">
        <v>-2.2257489229999998</v>
      </c>
      <c r="C219">
        <v>-7.9105601999999997E-2</v>
      </c>
      <c r="D219">
        <v>-1.6928701880000001</v>
      </c>
      <c r="E219">
        <v>6</v>
      </c>
      <c r="F219">
        <v>32</v>
      </c>
      <c r="G219">
        <v>16</v>
      </c>
      <c r="H219">
        <v>1</v>
      </c>
      <c r="I219">
        <v>3</v>
      </c>
      <c r="J219">
        <v>24.48555756</v>
      </c>
      <c r="K219">
        <v>22.45073318</v>
      </c>
      <c r="N219">
        <v>0</v>
      </c>
      <c r="O219">
        <v>0</v>
      </c>
    </row>
    <row r="220" spans="1:15">
      <c r="A220">
        <v>1.6939671549999999</v>
      </c>
      <c r="B220">
        <v>-1.374719284</v>
      </c>
      <c r="C220">
        <v>0.84698357700000004</v>
      </c>
      <c r="D220">
        <v>0.214814162</v>
      </c>
      <c r="E220">
        <v>7</v>
      </c>
      <c r="F220">
        <v>47</v>
      </c>
      <c r="G220">
        <v>20</v>
      </c>
      <c r="H220">
        <v>1</v>
      </c>
      <c r="I220">
        <v>0</v>
      </c>
      <c r="J220">
        <v>41.377769469999997</v>
      </c>
      <c r="K220">
        <v>40.56380463</v>
      </c>
      <c r="L220">
        <v>40.56380463</v>
      </c>
      <c r="M220">
        <v>3.7028760909999998</v>
      </c>
      <c r="N220">
        <v>1</v>
      </c>
      <c r="O220">
        <v>3.7028760909999998</v>
      </c>
    </row>
    <row r="221" spans="1:15">
      <c r="A221">
        <v>-5.7256140000000004E-3</v>
      </c>
      <c r="B221">
        <v>-2.0020023139999998</v>
      </c>
      <c r="C221">
        <v>-2.8628070000000002E-3</v>
      </c>
      <c r="D221">
        <v>-1.426610642</v>
      </c>
      <c r="E221">
        <v>8</v>
      </c>
      <c r="F221">
        <v>39</v>
      </c>
      <c r="G221">
        <v>16</v>
      </c>
      <c r="H221">
        <v>1</v>
      </c>
      <c r="I221">
        <v>1</v>
      </c>
      <c r="J221">
        <v>20.48067284</v>
      </c>
      <c r="K221">
        <v>24.765645979999999</v>
      </c>
      <c r="N221">
        <v>0</v>
      </c>
      <c r="O221">
        <v>0</v>
      </c>
    </row>
    <row r="222" spans="1:15">
      <c r="A222">
        <v>-1.408460241</v>
      </c>
      <c r="B222">
        <v>-0.75665956899999998</v>
      </c>
      <c r="C222">
        <v>-0.70423011999999996</v>
      </c>
      <c r="D222">
        <v>-1.5284826149999999</v>
      </c>
      <c r="E222">
        <v>9</v>
      </c>
      <c r="F222">
        <v>40</v>
      </c>
      <c r="G222">
        <v>12</v>
      </c>
      <c r="H222">
        <v>1</v>
      </c>
      <c r="I222">
        <v>5</v>
      </c>
      <c r="J222">
        <v>36.658206939999999</v>
      </c>
      <c r="K222">
        <v>12.5492382</v>
      </c>
      <c r="L222">
        <v>12.5492382</v>
      </c>
      <c r="M222">
        <v>2.529659986</v>
      </c>
      <c r="N222">
        <v>1</v>
      </c>
      <c r="O222">
        <v>2.529659986</v>
      </c>
    </row>
    <row r="223" spans="1:15">
      <c r="A223">
        <v>-0.18850979000000001</v>
      </c>
      <c r="B223">
        <v>0.35805915399999999</v>
      </c>
      <c r="C223">
        <v>-9.4254895000000005E-2</v>
      </c>
      <c r="D223">
        <v>0.12181790200000001</v>
      </c>
      <c r="E223">
        <v>0</v>
      </c>
      <c r="F223">
        <v>21</v>
      </c>
      <c r="G223">
        <v>10</v>
      </c>
      <c r="H223">
        <v>0</v>
      </c>
      <c r="I223">
        <v>0</v>
      </c>
      <c r="J223">
        <v>17.361814500000001</v>
      </c>
      <c r="K223">
        <v>14.06894112</v>
      </c>
      <c r="N223">
        <v>0</v>
      </c>
      <c r="O223">
        <v>0</v>
      </c>
    </row>
    <row r="224" spans="1:15">
      <c r="A224">
        <v>-1.229789274</v>
      </c>
      <c r="B224">
        <v>0.236482422</v>
      </c>
      <c r="C224">
        <v>-0.61489463700000002</v>
      </c>
      <c r="D224">
        <v>-0.69708535400000005</v>
      </c>
      <c r="E224">
        <v>1</v>
      </c>
      <c r="F224">
        <v>40</v>
      </c>
      <c r="G224">
        <v>10</v>
      </c>
      <c r="H224">
        <v>1</v>
      </c>
      <c r="I224">
        <v>2</v>
      </c>
      <c r="J224">
        <v>30.134975430000001</v>
      </c>
      <c r="K224">
        <v>11.621264460000001</v>
      </c>
      <c r="L224">
        <v>11.621264460000001</v>
      </c>
      <c r="M224">
        <v>2.4528365139999999</v>
      </c>
      <c r="N224">
        <v>1</v>
      </c>
      <c r="O224">
        <v>2.4528365139999999</v>
      </c>
    </row>
    <row r="225" spans="1:15">
      <c r="A225">
        <v>0.37562275099999998</v>
      </c>
      <c r="B225">
        <v>-0.70108146500000001</v>
      </c>
      <c r="C225">
        <v>0.187811375</v>
      </c>
      <c r="D225">
        <v>-0.23393355599999999</v>
      </c>
      <c r="E225">
        <v>2</v>
      </c>
      <c r="F225">
        <v>31</v>
      </c>
      <c r="G225">
        <v>16</v>
      </c>
      <c r="H225">
        <v>1</v>
      </c>
      <c r="I225">
        <v>4</v>
      </c>
      <c r="J225">
        <v>46.592796329999999</v>
      </c>
      <c r="K225">
        <v>25.45373726</v>
      </c>
      <c r="L225">
        <v>25.45373726</v>
      </c>
      <c r="M225">
        <v>3.2368626589999998</v>
      </c>
      <c r="N225">
        <v>1</v>
      </c>
      <c r="O225">
        <v>3.2368626589999998</v>
      </c>
    </row>
    <row r="226" spans="1:15">
      <c r="A226">
        <v>-0.199858285</v>
      </c>
      <c r="B226">
        <v>0.20713378499999999</v>
      </c>
      <c r="C226">
        <v>-9.9929141999999999E-2</v>
      </c>
      <c r="D226">
        <v>6.5899779999999998E-3</v>
      </c>
      <c r="E226">
        <v>3</v>
      </c>
      <c r="F226">
        <v>26</v>
      </c>
      <c r="G226">
        <v>10</v>
      </c>
      <c r="H226">
        <v>0</v>
      </c>
      <c r="I226">
        <v>3</v>
      </c>
      <c r="J226">
        <v>32.979080199999999</v>
      </c>
      <c r="K226">
        <v>15.000850679999999</v>
      </c>
      <c r="L226">
        <v>15.000850679999999</v>
      </c>
      <c r="M226">
        <v>2.7081069950000001</v>
      </c>
      <c r="N226">
        <v>1</v>
      </c>
      <c r="O226">
        <v>2.7081069950000001</v>
      </c>
    </row>
    <row r="227" spans="1:15">
      <c r="A227">
        <v>0.50498152699999999</v>
      </c>
      <c r="B227">
        <v>-0.193148079</v>
      </c>
      <c r="C227">
        <v>0.25249076399999998</v>
      </c>
      <c r="D227">
        <v>0.21799431699999999</v>
      </c>
      <c r="E227">
        <v>4</v>
      </c>
      <c r="F227">
        <v>30</v>
      </c>
      <c r="G227">
        <v>10</v>
      </c>
      <c r="H227">
        <v>1</v>
      </c>
      <c r="I227">
        <v>0</v>
      </c>
      <c r="J227">
        <v>27.11593246</v>
      </c>
      <c r="K227">
        <v>20.02989006</v>
      </c>
      <c r="N227">
        <v>0</v>
      </c>
      <c r="O227">
        <v>0</v>
      </c>
    </row>
    <row r="228" spans="1:15">
      <c r="A228">
        <v>-1.9556209470000001</v>
      </c>
      <c r="B228">
        <v>-0.25170817899999998</v>
      </c>
      <c r="C228">
        <v>-0.97781047300000001</v>
      </c>
      <c r="D228">
        <v>-1.5545876970000001</v>
      </c>
      <c r="E228">
        <v>5</v>
      </c>
      <c r="F228">
        <v>40</v>
      </c>
      <c r="G228">
        <v>12</v>
      </c>
      <c r="H228">
        <v>1</v>
      </c>
      <c r="I228">
        <v>4</v>
      </c>
      <c r="J228">
        <v>31.344947810000001</v>
      </c>
      <c r="K228">
        <v>9.2662744519999993</v>
      </c>
      <c r="L228">
        <v>9.2662744519999993</v>
      </c>
      <c r="M228">
        <v>2.2263813020000001</v>
      </c>
      <c r="N228">
        <v>1</v>
      </c>
      <c r="O228">
        <v>2.2263813020000001</v>
      </c>
    </row>
    <row r="229" spans="1:15">
      <c r="A229">
        <v>-2.2849057099999999</v>
      </c>
      <c r="B229">
        <v>-0.17372569900000001</v>
      </c>
      <c r="C229">
        <v>-1.1424528549999999</v>
      </c>
      <c r="D229">
        <v>-1.7308182430000001</v>
      </c>
      <c r="E229">
        <v>6</v>
      </c>
      <c r="F229">
        <v>34</v>
      </c>
      <c r="G229">
        <v>12</v>
      </c>
      <c r="H229">
        <v>1</v>
      </c>
      <c r="I229">
        <v>0</v>
      </c>
      <c r="J229">
        <v>6.8301811219999999</v>
      </c>
      <c r="K229">
        <v>6.0905656810000002</v>
      </c>
      <c r="N229">
        <v>0</v>
      </c>
      <c r="O229">
        <v>0</v>
      </c>
    </row>
    <row r="230" spans="1:15">
      <c r="A230">
        <v>-0.80522845700000001</v>
      </c>
      <c r="B230">
        <v>-0.85340515100000003</v>
      </c>
      <c r="C230">
        <v>-0.40261422800000002</v>
      </c>
      <c r="D230">
        <v>-1.17287009</v>
      </c>
      <c r="E230">
        <v>7</v>
      </c>
      <c r="F230">
        <v>34</v>
      </c>
      <c r="G230">
        <v>16</v>
      </c>
      <c r="H230">
        <v>1</v>
      </c>
      <c r="I230">
        <v>3</v>
      </c>
      <c r="J230">
        <v>31.52555847</v>
      </c>
      <c r="K230">
        <v>18.968629839999998</v>
      </c>
      <c r="L230">
        <v>18.968629839999998</v>
      </c>
      <c r="M230">
        <v>2.9427864549999998</v>
      </c>
      <c r="N230">
        <v>1</v>
      </c>
      <c r="O230">
        <v>2.9427864549999998</v>
      </c>
    </row>
    <row r="231" spans="1:15">
      <c r="A231">
        <v>-0.347991522</v>
      </c>
      <c r="B231">
        <v>-0.23421800300000001</v>
      </c>
      <c r="C231">
        <v>-0.173995761</v>
      </c>
      <c r="D231">
        <v>-0.41123369100000001</v>
      </c>
      <c r="E231">
        <v>8</v>
      </c>
      <c r="F231">
        <v>47</v>
      </c>
      <c r="G231">
        <v>16</v>
      </c>
      <c r="H231">
        <v>1</v>
      </c>
      <c r="I231">
        <v>1</v>
      </c>
      <c r="J231">
        <v>35.865196230000002</v>
      </c>
      <c r="K231">
        <v>24.31205177</v>
      </c>
      <c r="L231">
        <v>24.31205177</v>
      </c>
      <c r="M231">
        <v>3.1909720899999998</v>
      </c>
      <c r="N231">
        <v>1</v>
      </c>
      <c r="O231">
        <v>3.1909720899999998</v>
      </c>
    </row>
    <row r="232" spans="1:15">
      <c r="A232">
        <v>-1.8945974830000001</v>
      </c>
      <c r="B232">
        <v>1.35984975</v>
      </c>
      <c r="C232">
        <v>-0.94729874199999997</v>
      </c>
      <c r="D232">
        <v>-0.36651841800000001</v>
      </c>
      <c r="E232">
        <v>9</v>
      </c>
      <c r="F232">
        <v>39</v>
      </c>
      <c r="G232">
        <v>16</v>
      </c>
      <c r="H232">
        <v>1</v>
      </c>
      <c r="I232">
        <v>1</v>
      </c>
      <c r="J232">
        <v>33.201778410000003</v>
      </c>
      <c r="K232">
        <v>13.43241501</v>
      </c>
      <c r="L232">
        <v>13.43241501</v>
      </c>
      <c r="M232">
        <v>2.5976707939999999</v>
      </c>
      <c r="N232">
        <v>1</v>
      </c>
      <c r="O232">
        <v>2.5976707939999999</v>
      </c>
    </row>
    <row r="233" spans="1:15">
      <c r="A233">
        <v>1.023155008</v>
      </c>
      <c r="B233">
        <v>0.54394662400000005</v>
      </c>
      <c r="C233">
        <v>0.51157750400000002</v>
      </c>
      <c r="D233">
        <v>1.106280755</v>
      </c>
      <c r="E233">
        <v>0</v>
      </c>
      <c r="F233">
        <v>26</v>
      </c>
      <c r="G233">
        <v>16</v>
      </c>
      <c r="H233">
        <v>0</v>
      </c>
      <c r="I233">
        <v>3</v>
      </c>
      <c r="J233">
        <v>50.675369259999997</v>
      </c>
      <c r="K233">
        <v>28.338930130000001</v>
      </c>
      <c r="L233">
        <v>28.338930130000001</v>
      </c>
      <c r="M233">
        <v>3.3442363739999998</v>
      </c>
      <c r="N233">
        <v>1</v>
      </c>
      <c r="O233">
        <v>3.3442363739999998</v>
      </c>
    </row>
    <row r="234" spans="1:15">
      <c r="A234">
        <v>1.888794176</v>
      </c>
      <c r="B234">
        <v>-1.098634004</v>
      </c>
      <c r="C234">
        <v>0.944397088</v>
      </c>
      <c r="D234">
        <v>0.54805062800000004</v>
      </c>
      <c r="E234">
        <v>1</v>
      </c>
      <c r="F234">
        <v>24</v>
      </c>
      <c r="G234">
        <v>10</v>
      </c>
      <c r="H234">
        <v>0</v>
      </c>
      <c r="I234">
        <v>3</v>
      </c>
      <c r="J234">
        <v>38.676609040000002</v>
      </c>
      <c r="K234">
        <v>27.132764819999998</v>
      </c>
      <c r="L234">
        <v>27.132764819999998</v>
      </c>
      <c r="M234">
        <v>3.300742149</v>
      </c>
      <c r="N234">
        <v>1</v>
      </c>
      <c r="O234">
        <v>3.300742149</v>
      </c>
    </row>
    <row r="235" spans="1:15">
      <c r="A235">
        <v>0.14486902700000001</v>
      </c>
      <c r="B235">
        <v>0.202719281</v>
      </c>
      <c r="C235">
        <v>7.2434514000000005E-2</v>
      </c>
      <c r="D235">
        <v>0.24595989200000001</v>
      </c>
      <c r="E235">
        <v>2</v>
      </c>
      <c r="F235">
        <v>36</v>
      </c>
      <c r="G235">
        <v>10</v>
      </c>
      <c r="H235">
        <v>0</v>
      </c>
      <c r="I235">
        <v>0</v>
      </c>
      <c r="J235">
        <v>24.851518630000001</v>
      </c>
      <c r="K235">
        <v>19.069213869999999</v>
      </c>
      <c r="N235">
        <v>0</v>
      </c>
      <c r="O235">
        <v>0</v>
      </c>
    </row>
    <row r="236" spans="1:15">
      <c r="A236">
        <v>0.83151368199999998</v>
      </c>
      <c r="B236">
        <v>-8.2412797999999995E-2</v>
      </c>
      <c r="C236">
        <v>0.41575684099999999</v>
      </c>
      <c r="D236">
        <v>0.52638754300000001</v>
      </c>
      <c r="E236">
        <v>3</v>
      </c>
      <c r="F236">
        <v>26</v>
      </c>
      <c r="G236">
        <v>10</v>
      </c>
      <c r="H236">
        <v>0</v>
      </c>
      <c r="I236">
        <v>0</v>
      </c>
      <c r="J236">
        <v>24.216650009999999</v>
      </c>
      <c r="K236">
        <v>21.18908119</v>
      </c>
      <c r="N236">
        <v>0</v>
      </c>
      <c r="O236">
        <v>0</v>
      </c>
    </row>
    <row r="237" spans="1:15">
      <c r="A237">
        <v>-0.32848941300000001</v>
      </c>
      <c r="B237">
        <v>-1.0560073290000001</v>
      </c>
      <c r="C237">
        <v>-0.16424470599999999</v>
      </c>
      <c r="D237">
        <v>-0.98146152600000003</v>
      </c>
      <c r="E237">
        <v>4</v>
      </c>
      <c r="F237">
        <v>35</v>
      </c>
      <c r="G237">
        <v>16</v>
      </c>
      <c r="H237">
        <v>1</v>
      </c>
      <c r="I237">
        <v>1</v>
      </c>
      <c r="J237">
        <v>24.2224617</v>
      </c>
      <c r="K237">
        <v>22.029064179999999</v>
      </c>
      <c r="N237">
        <v>0</v>
      </c>
      <c r="O237">
        <v>0</v>
      </c>
    </row>
    <row r="238" spans="1:15">
      <c r="A238">
        <v>-1.228924506</v>
      </c>
      <c r="B238">
        <v>0.115970899</v>
      </c>
      <c r="C238">
        <v>-0.61446225300000001</v>
      </c>
      <c r="D238">
        <v>-0.78211009099999995</v>
      </c>
      <c r="E238">
        <v>5</v>
      </c>
      <c r="F238">
        <v>34</v>
      </c>
      <c r="G238">
        <v>10</v>
      </c>
      <c r="H238">
        <v>1</v>
      </c>
      <c r="I238">
        <v>0</v>
      </c>
      <c r="J238">
        <v>16.714679719999999</v>
      </c>
      <c r="K238">
        <v>10.426452640000001</v>
      </c>
      <c r="N238">
        <v>0</v>
      </c>
      <c r="O238">
        <v>0</v>
      </c>
    </row>
    <row r="239" spans="1:15">
      <c r="A239">
        <v>1.125603535</v>
      </c>
      <c r="B239">
        <v>-0.48228361400000003</v>
      </c>
      <c r="C239">
        <v>0.56280176699999995</v>
      </c>
      <c r="D239">
        <v>0.44913196</v>
      </c>
      <c r="E239">
        <v>6</v>
      </c>
      <c r="F239">
        <v>44</v>
      </c>
      <c r="G239">
        <v>12</v>
      </c>
      <c r="H239">
        <v>1</v>
      </c>
      <c r="I239">
        <v>1</v>
      </c>
      <c r="J239">
        <v>41.989582059999996</v>
      </c>
      <c r="K239">
        <v>28.553621289999999</v>
      </c>
      <c r="L239">
        <v>28.553621289999999</v>
      </c>
      <c r="M239">
        <v>3.3517837519999998</v>
      </c>
      <c r="N239">
        <v>1</v>
      </c>
      <c r="O239">
        <v>3.3517837519999998</v>
      </c>
    </row>
    <row r="240" spans="1:15">
      <c r="A240">
        <v>0.44713012899999999</v>
      </c>
      <c r="B240">
        <v>-0.476141021</v>
      </c>
      <c r="C240">
        <v>0.22356506400000001</v>
      </c>
      <c r="D240">
        <v>-2.3791777E-2</v>
      </c>
      <c r="E240">
        <v>7</v>
      </c>
      <c r="F240">
        <v>34</v>
      </c>
      <c r="G240">
        <v>12</v>
      </c>
      <c r="H240">
        <v>1</v>
      </c>
      <c r="I240">
        <v>2</v>
      </c>
      <c r="J240">
        <v>37.314498899999997</v>
      </c>
      <c r="K240">
        <v>22.482780460000001</v>
      </c>
      <c r="L240">
        <v>22.482780460000001</v>
      </c>
      <c r="M240">
        <v>3.1127498149999999</v>
      </c>
      <c r="N240">
        <v>1</v>
      </c>
      <c r="O240">
        <v>3.1127498149999999</v>
      </c>
    </row>
    <row r="241" spans="1:15">
      <c r="A241">
        <v>0.17784077300000001</v>
      </c>
      <c r="B241">
        <v>3.9146939999999998E-3</v>
      </c>
      <c r="C241">
        <v>8.8920386000000004E-2</v>
      </c>
      <c r="D241">
        <v>0.1278881</v>
      </c>
      <c r="E241">
        <v>8</v>
      </c>
      <c r="F241">
        <v>43</v>
      </c>
      <c r="G241">
        <v>12</v>
      </c>
      <c r="H241">
        <v>1</v>
      </c>
      <c r="I241">
        <v>1</v>
      </c>
      <c r="J241">
        <v>37.734657290000001</v>
      </c>
      <c r="K241">
        <v>22.66704369</v>
      </c>
      <c r="L241">
        <v>22.66704369</v>
      </c>
      <c r="M241">
        <v>3.1209120750000001</v>
      </c>
      <c r="N241">
        <v>1</v>
      </c>
      <c r="O241">
        <v>3.1209120750000001</v>
      </c>
    </row>
    <row r="242" spans="1:15">
      <c r="A242">
        <v>0.49541435299999997</v>
      </c>
      <c r="B242">
        <v>1.287260928</v>
      </c>
      <c r="C242">
        <v>0.247707176</v>
      </c>
      <c r="D242">
        <v>1.2632131</v>
      </c>
      <c r="E242">
        <v>9</v>
      </c>
      <c r="F242">
        <v>49</v>
      </c>
      <c r="G242">
        <v>12</v>
      </c>
      <c r="H242">
        <v>1</v>
      </c>
      <c r="I242">
        <v>5</v>
      </c>
      <c r="J242">
        <v>73.758560180000003</v>
      </c>
      <c r="K242">
        <v>25.77248573</v>
      </c>
      <c r="L242">
        <v>25.77248573</v>
      </c>
      <c r="M242">
        <v>3.2493073940000001</v>
      </c>
      <c r="N242">
        <v>1</v>
      </c>
      <c r="O242">
        <v>3.2493073940000001</v>
      </c>
    </row>
    <row r="243" spans="1:15">
      <c r="A243">
        <v>-2.7605644539999998</v>
      </c>
      <c r="B243">
        <v>-1.112086645</v>
      </c>
      <c r="C243">
        <v>-1.3802822269999999</v>
      </c>
      <c r="D243">
        <v>-2.7322124300000001</v>
      </c>
      <c r="E243">
        <v>0</v>
      </c>
      <c r="F243">
        <v>20</v>
      </c>
      <c r="G243">
        <v>10</v>
      </c>
      <c r="H243">
        <v>1</v>
      </c>
      <c r="I243">
        <v>2</v>
      </c>
      <c r="J243">
        <v>-2.2865490909999999</v>
      </c>
      <c r="K243">
        <v>-1.5633866789999999</v>
      </c>
      <c r="N243">
        <v>0</v>
      </c>
      <c r="O243">
        <v>0</v>
      </c>
    </row>
    <row r="244" spans="1:15">
      <c r="A244">
        <v>2.517638796</v>
      </c>
      <c r="B244">
        <v>1.0466643470000001</v>
      </c>
      <c r="C244">
        <v>1.258819398</v>
      </c>
      <c r="D244">
        <v>2.514832717</v>
      </c>
      <c r="E244">
        <v>1</v>
      </c>
      <c r="F244">
        <v>32</v>
      </c>
      <c r="G244">
        <v>16</v>
      </c>
      <c r="H244">
        <v>1</v>
      </c>
      <c r="I244">
        <v>1</v>
      </c>
      <c r="J244">
        <v>64.977989199999996</v>
      </c>
      <c r="K244">
        <v>38.505832669999997</v>
      </c>
      <c r="L244">
        <v>38.505832669999997</v>
      </c>
      <c r="M244">
        <v>3.650809765</v>
      </c>
      <c r="N244">
        <v>1</v>
      </c>
      <c r="O244">
        <v>3.650809765</v>
      </c>
    </row>
    <row r="245" spans="1:15">
      <c r="A245">
        <v>-0.75353071699999996</v>
      </c>
      <c r="B245">
        <v>0.64122205600000004</v>
      </c>
      <c r="C245">
        <v>-0.37676535900000002</v>
      </c>
      <c r="D245">
        <v>-7.4449850999999997E-2</v>
      </c>
      <c r="E245">
        <v>2</v>
      </c>
      <c r="F245">
        <v>43</v>
      </c>
      <c r="G245">
        <v>10</v>
      </c>
      <c r="H245">
        <v>0</v>
      </c>
      <c r="I245">
        <v>1</v>
      </c>
      <c r="J245">
        <v>28.806602479999999</v>
      </c>
      <c r="K245">
        <v>15.07881546</v>
      </c>
      <c r="N245">
        <v>0</v>
      </c>
      <c r="O245">
        <v>0</v>
      </c>
    </row>
    <row r="246" spans="1:15">
      <c r="A246">
        <v>-1.200234805</v>
      </c>
      <c r="B246">
        <v>-1.7225523380000001</v>
      </c>
      <c r="C246">
        <v>-0.60011740300000005</v>
      </c>
      <c r="D246">
        <v>-2.0683454829999999</v>
      </c>
      <c r="E246">
        <v>3</v>
      </c>
      <c r="F246">
        <v>41</v>
      </c>
      <c r="G246">
        <v>16</v>
      </c>
      <c r="H246">
        <v>1</v>
      </c>
      <c r="I246">
        <v>3</v>
      </c>
      <c r="J246">
        <v>23.57985497</v>
      </c>
      <c r="K246">
        <v>17.99859047</v>
      </c>
      <c r="N246">
        <v>0</v>
      </c>
      <c r="O246">
        <v>0</v>
      </c>
    </row>
    <row r="247" spans="1:15">
      <c r="A247">
        <v>-1.3362689489999999</v>
      </c>
      <c r="B247">
        <v>1.409046909</v>
      </c>
      <c r="C247">
        <v>-0.66813447500000001</v>
      </c>
      <c r="D247">
        <v>6.1209822999999997E-2</v>
      </c>
      <c r="E247">
        <v>4</v>
      </c>
      <c r="F247">
        <v>29</v>
      </c>
      <c r="G247">
        <v>12</v>
      </c>
      <c r="H247">
        <v>1</v>
      </c>
      <c r="I247">
        <v>1</v>
      </c>
      <c r="J247">
        <v>31.334518429999999</v>
      </c>
      <c r="K247">
        <v>10.78238678</v>
      </c>
      <c r="L247">
        <v>10.78238678</v>
      </c>
      <c r="M247">
        <v>2.3779139520000001</v>
      </c>
      <c r="N247">
        <v>1</v>
      </c>
      <c r="O247">
        <v>2.3779139520000001</v>
      </c>
    </row>
    <row r="248" spans="1:15">
      <c r="A248">
        <v>0.36165436200000001</v>
      </c>
      <c r="B248">
        <v>-0.88671483200000001</v>
      </c>
      <c r="C248">
        <v>0.180827181</v>
      </c>
      <c r="D248">
        <v>-0.375667317</v>
      </c>
      <c r="E248">
        <v>5</v>
      </c>
      <c r="F248">
        <v>38</v>
      </c>
      <c r="G248">
        <v>12</v>
      </c>
      <c r="H248">
        <v>0</v>
      </c>
      <c r="I248">
        <v>1</v>
      </c>
      <c r="J248">
        <v>24.691991810000001</v>
      </c>
      <c r="K248">
        <v>22.76992607</v>
      </c>
      <c r="N248">
        <v>0</v>
      </c>
      <c r="O248">
        <v>0</v>
      </c>
    </row>
    <row r="249" spans="1:15">
      <c r="A249">
        <v>1.164207159</v>
      </c>
      <c r="B249">
        <v>-0.78839558700000001</v>
      </c>
      <c r="C249">
        <v>0.58210357999999995</v>
      </c>
      <c r="D249">
        <v>0.25877156699999998</v>
      </c>
      <c r="E249">
        <v>6</v>
      </c>
      <c r="F249">
        <v>40</v>
      </c>
      <c r="G249">
        <v>16</v>
      </c>
      <c r="H249">
        <v>1</v>
      </c>
      <c r="I249">
        <v>4</v>
      </c>
      <c r="J249">
        <v>56.105258939999999</v>
      </c>
      <c r="K249">
        <v>31.985242840000002</v>
      </c>
      <c r="L249">
        <v>31.985242840000002</v>
      </c>
      <c r="M249">
        <v>3.4652745720000002</v>
      </c>
      <c r="N249">
        <v>1</v>
      </c>
      <c r="O249">
        <v>3.4652745720000002</v>
      </c>
    </row>
    <row r="250" spans="1:15">
      <c r="A250">
        <v>1.33016004</v>
      </c>
      <c r="B250">
        <v>0.46155702900000001</v>
      </c>
      <c r="C250">
        <v>0.66508001999999999</v>
      </c>
      <c r="D250">
        <v>1.263706478</v>
      </c>
      <c r="E250">
        <v>7</v>
      </c>
      <c r="F250">
        <v>46</v>
      </c>
      <c r="G250">
        <v>16</v>
      </c>
      <c r="H250">
        <v>1</v>
      </c>
      <c r="I250">
        <v>2</v>
      </c>
      <c r="J250">
        <v>60.56447601</v>
      </c>
      <c r="K250">
        <v>34.180961609999997</v>
      </c>
      <c r="L250">
        <v>34.180961609999997</v>
      </c>
      <c r="M250">
        <v>3.5316689010000002</v>
      </c>
      <c r="N250">
        <v>1</v>
      </c>
      <c r="O250">
        <v>3.5316689010000002</v>
      </c>
    </row>
    <row r="251" spans="1:15">
      <c r="A251">
        <v>-2.4833253200000001</v>
      </c>
      <c r="B251">
        <v>-5.6704337E-2</v>
      </c>
      <c r="C251">
        <v>-1.24166266</v>
      </c>
      <c r="D251">
        <v>-1.7872482810000001</v>
      </c>
      <c r="E251">
        <v>8</v>
      </c>
      <c r="F251">
        <v>38</v>
      </c>
      <c r="G251">
        <v>12</v>
      </c>
      <c r="H251">
        <v>1</v>
      </c>
      <c r="I251">
        <v>3</v>
      </c>
      <c r="J251">
        <v>22.753021239999999</v>
      </c>
      <c r="K251">
        <v>5.70004797</v>
      </c>
      <c r="N251">
        <v>0</v>
      </c>
      <c r="O251">
        <v>0</v>
      </c>
    </row>
    <row r="252" spans="1:15">
      <c r="A252">
        <v>3.163754E-3</v>
      </c>
      <c r="B252">
        <v>0.20754593499999999</v>
      </c>
      <c r="C252">
        <v>1.581877E-3</v>
      </c>
      <c r="D252">
        <v>0.14970361099999999</v>
      </c>
      <c r="E252">
        <v>9</v>
      </c>
      <c r="F252">
        <v>43</v>
      </c>
      <c r="G252">
        <v>12</v>
      </c>
      <c r="H252">
        <v>1</v>
      </c>
      <c r="I252">
        <v>0</v>
      </c>
      <c r="J252">
        <v>32.996444699999998</v>
      </c>
      <c r="K252">
        <v>21.618982320000001</v>
      </c>
      <c r="L252">
        <v>21.618982320000001</v>
      </c>
      <c r="M252">
        <v>3.0735716819999999</v>
      </c>
      <c r="N252">
        <v>1</v>
      </c>
      <c r="O252">
        <v>3.0735716819999999</v>
      </c>
    </row>
    <row r="253" spans="1:15">
      <c r="A253">
        <v>-0.59593219799999997</v>
      </c>
      <c r="B253">
        <v>-0.21449791400000001</v>
      </c>
      <c r="C253">
        <v>-0.29796609899999998</v>
      </c>
      <c r="D253">
        <v>-0.57164086000000003</v>
      </c>
      <c r="E253">
        <v>0</v>
      </c>
      <c r="F253">
        <v>26</v>
      </c>
      <c r="G253">
        <v>10</v>
      </c>
      <c r="H253">
        <v>0</v>
      </c>
      <c r="I253">
        <v>2</v>
      </c>
      <c r="J253">
        <v>21.040309910000001</v>
      </c>
      <c r="K253">
        <v>12.62440681</v>
      </c>
      <c r="N253">
        <v>0</v>
      </c>
      <c r="O253">
        <v>0</v>
      </c>
    </row>
    <row r="254" spans="1:15">
      <c r="A254">
        <v>0.41568715899999997</v>
      </c>
      <c r="B254">
        <v>0.43474751299999997</v>
      </c>
      <c r="C254">
        <v>0.207843579</v>
      </c>
      <c r="D254">
        <v>0.601348086</v>
      </c>
      <c r="E254">
        <v>1</v>
      </c>
      <c r="F254">
        <v>31</v>
      </c>
      <c r="G254">
        <v>10</v>
      </c>
      <c r="H254">
        <v>0</v>
      </c>
      <c r="I254">
        <v>3</v>
      </c>
      <c r="J254">
        <v>42.116176609999997</v>
      </c>
      <c r="K254">
        <v>19.694122310000001</v>
      </c>
      <c r="L254">
        <v>19.694122310000001</v>
      </c>
      <c r="M254">
        <v>2.9803202149999999</v>
      </c>
      <c r="N254">
        <v>1</v>
      </c>
      <c r="O254">
        <v>2.9803202149999999</v>
      </c>
    </row>
    <row r="255" spans="1:15">
      <c r="A255">
        <v>0.81384698300000002</v>
      </c>
      <c r="B255">
        <v>-5.1916641999999999E-2</v>
      </c>
      <c r="C255">
        <v>0.40692349100000003</v>
      </c>
      <c r="D255">
        <v>0.53562943399999996</v>
      </c>
      <c r="E255">
        <v>2</v>
      </c>
      <c r="F255">
        <v>35</v>
      </c>
      <c r="G255">
        <v>12</v>
      </c>
      <c r="H255">
        <v>1</v>
      </c>
      <c r="I255">
        <v>0</v>
      </c>
      <c r="J255">
        <v>34.427555079999998</v>
      </c>
      <c r="K255">
        <v>24.883081440000002</v>
      </c>
      <c r="L255">
        <v>24.883081440000002</v>
      </c>
      <c r="M255">
        <v>3.2141880989999998</v>
      </c>
      <c r="N255">
        <v>1</v>
      </c>
      <c r="O255">
        <v>3.2141880989999998</v>
      </c>
    </row>
    <row r="256" spans="1:15">
      <c r="A256">
        <v>0.197242481</v>
      </c>
      <c r="B256">
        <v>0.150556989</v>
      </c>
      <c r="C256">
        <v>9.8621239999999999E-2</v>
      </c>
      <c r="D256">
        <v>0.24573778399999999</v>
      </c>
      <c r="E256">
        <v>3</v>
      </c>
      <c r="F256">
        <v>41</v>
      </c>
      <c r="G256">
        <v>16</v>
      </c>
      <c r="H256">
        <v>0</v>
      </c>
      <c r="I256">
        <v>1</v>
      </c>
      <c r="J256">
        <v>36.348854060000001</v>
      </c>
      <c r="K256">
        <v>26.38345528</v>
      </c>
      <c r="L256">
        <v>26.38345528</v>
      </c>
      <c r="M256">
        <v>3.2727370260000002</v>
      </c>
      <c r="N256">
        <v>1</v>
      </c>
      <c r="O256">
        <v>3.2727370260000002</v>
      </c>
    </row>
    <row r="257" spans="1:15">
      <c r="A257">
        <v>-3.1761180999999999E-2</v>
      </c>
      <c r="B257">
        <v>1.677639747</v>
      </c>
      <c r="C257">
        <v>-1.5880590999999999E-2</v>
      </c>
      <c r="D257">
        <v>1.1697540930000001</v>
      </c>
      <c r="E257">
        <v>4</v>
      </c>
      <c r="F257">
        <v>40</v>
      </c>
      <c r="G257">
        <v>12</v>
      </c>
      <c r="H257">
        <v>0</v>
      </c>
      <c r="I257">
        <v>1</v>
      </c>
      <c r="J257">
        <v>44.037048339999998</v>
      </c>
      <c r="K257">
        <v>20.80943298</v>
      </c>
      <c r="L257">
        <v>20.80943298</v>
      </c>
      <c r="M257">
        <v>3.0354063509999998</v>
      </c>
      <c r="N257">
        <v>1</v>
      </c>
      <c r="O257">
        <v>3.0354063509999998</v>
      </c>
    </row>
    <row r="258" spans="1:15">
      <c r="A258">
        <v>1.0761336349999999</v>
      </c>
      <c r="B258">
        <v>-0.67875961799999995</v>
      </c>
      <c r="C258">
        <v>0.538066818</v>
      </c>
      <c r="D258">
        <v>0.27471924199999997</v>
      </c>
      <c r="E258">
        <v>5</v>
      </c>
      <c r="F258">
        <v>34</v>
      </c>
      <c r="G258">
        <v>12</v>
      </c>
      <c r="H258">
        <v>1</v>
      </c>
      <c r="I258">
        <v>2</v>
      </c>
      <c r="J258">
        <v>40.896629330000003</v>
      </c>
      <c r="K258">
        <v>26.25680161</v>
      </c>
      <c r="L258">
        <v>26.25680161</v>
      </c>
      <c r="M258">
        <v>3.2679250240000002</v>
      </c>
      <c r="N258">
        <v>1</v>
      </c>
      <c r="O258">
        <v>3.2679250240000002</v>
      </c>
    </row>
    <row r="259" spans="1:15">
      <c r="A259">
        <v>-1.470799985</v>
      </c>
      <c r="B259">
        <v>0.72940986200000002</v>
      </c>
      <c r="C259">
        <v>-0.73539999300000003</v>
      </c>
      <c r="D259">
        <v>-0.51636578899999996</v>
      </c>
      <c r="E259">
        <v>6</v>
      </c>
      <c r="F259">
        <v>33</v>
      </c>
      <c r="G259">
        <v>16</v>
      </c>
      <c r="H259">
        <v>1</v>
      </c>
      <c r="I259">
        <v>1</v>
      </c>
      <c r="J259">
        <v>29.003610609999999</v>
      </c>
      <c r="K259">
        <v>14.77519989</v>
      </c>
      <c r="N259">
        <v>0</v>
      </c>
      <c r="O259">
        <v>0</v>
      </c>
    </row>
    <row r="260" spans="1:15">
      <c r="A260">
        <v>0.88472476099999997</v>
      </c>
      <c r="B260">
        <v>0.61013995899999995</v>
      </c>
      <c r="C260">
        <v>0.44236238</v>
      </c>
      <c r="D260">
        <v>1.055934307</v>
      </c>
      <c r="E260">
        <v>7</v>
      </c>
      <c r="F260">
        <v>41</v>
      </c>
      <c r="G260">
        <v>20</v>
      </c>
      <c r="H260">
        <v>1</v>
      </c>
      <c r="I260">
        <v>2</v>
      </c>
      <c r="J260">
        <v>59.071212770000002</v>
      </c>
      <c r="K260">
        <v>34.508350370000002</v>
      </c>
      <c r="L260">
        <v>34.508350370000002</v>
      </c>
      <c r="M260">
        <v>3.5412013529999999</v>
      </c>
      <c r="N260">
        <v>1</v>
      </c>
      <c r="O260">
        <v>3.5412013529999999</v>
      </c>
    </row>
    <row r="261" spans="1:15">
      <c r="A261">
        <v>5.7377050999999998E-2</v>
      </c>
      <c r="B261">
        <v>-6.0789740000000002E-2</v>
      </c>
      <c r="C261">
        <v>2.8688525999999999E-2</v>
      </c>
      <c r="D261">
        <v>-2.8326979999999998E-3</v>
      </c>
      <c r="E261">
        <v>8</v>
      </c>
      <c r="F261">
        <v>48</v>
      </c>
      <c r="G261">
        <v>16</v>
      </c>
      <c r="H261">
        <v>1</v>
      </c>
      <c r="I261">
        <v>4</v>
      </c>
      <c r="J261">
        <v>56.166007999999998</v>
      </c>
      <c r="K261">
        <v>26.94426155</v>
      </c>
      <c r="L261">
        <v>26.94426155</v>
      </c>
      <c r="M261">
        <v>3.293770313</v>
      </c>
      <c r="N261">
        <v>1</v>
      </c>
      <c r="O261">
        <v>3.293770313</v>
      </c>
    </row>
    <row r="262" spans="1:15">
      <c r="A262">
        <v>-1.4138861279999999</v>
      </c>
      <c r="B262">
        <v>0.73485162400000004</v>
      </c>
      <c r="C262">
        <v>-0.70694306399999995</v>
      </c>
      <c r="D262">
        <v>-0.47246155099999998</v>
      </c>
      <c r="E262">
        <v>9</v>
      </c>
      <c r="F262">
        <v>39</v>
      </c>
      <c r="G262">
        <v>12</v>
      </c>
      <c r="H262">
        <v>1</v>
      </c>
      <c r="I262">
        <v>3</v>
      </c>
      <c r="J262">
        <v>38.930461880000003</v>
      </c>
      <c r="K262">
        <v>12.31668282</v>
      </c>
      <c r="L262">
        <v>12.31668282</v>
      </c>
      <c r="M262">
        <v>2.510954618</v>
      </c>
      <c r="N262">
        <v>1</v>
      </c>
      <c r="O262">
        <v>2.510954618</v>
      </c>
    </row>
    <row r="263" spans="1:15">
      <c r="A263">
        <v>2.6944284270000001</v>
      </c>
      <c r="B263">
        <v>0.191759132</v>
      </c>
      <c r="C263">
        <v>1.347214213</v>
      </c>
      <c r="D263">
        <v>2.0317211089999998</v>
      </c>
      <c r="E263">
        <v>0</v>
      </c>
      <c r="F263">
        <v>28</v>
      </c>
      <c r="G263">
        <v>10</v>
      </c>
      <c r="H263">
        <v>0</v>
      </c>
      <c r="I263">
        <v>1</v>
      </c>
      <c r="J263">
        <v>48.08065414</v>
      </c>
      <c r="K263">
        <v>32.766571040000002</v>
      </c>
      <c r="L263">
        <v>32.766571040000002</v>
      </c>
      <c r="M263">
        <v>3.4894087310000002</v>
      </c>
      <c r="N263">
        <v>1</v>
      </c>
      <c r="O263">
        <v>3.4894087310000002</v>
      </c>
    </row>
    <row r="264" spans="1:15">
      <c r="A264">
        <v>-0.92740938399999995</v>
      </c>
      <c r="B264">
        <v>1.4161406999999999</v>
      </c>
      <c r="C264">
        <v>-0.46370469199999997</v>
      </c>
      <c r="D264">
        <v>0.35387268799999999</v>
      </c>
      <c r="E264">
        <v>1</v>
      </c>
      <c r="F264">
        <v>36</v>
      </c>
      <c r="G264">
        <v>10</v>
      </c>
      <c r="H264">
        <v>1</v>
      </c>
      <c r="I264">
        <v>1</v>
      </c>
      <c r="J264">
        <v>36.146472930000002</v>
      </c>
      <c r="K264">
        <v>12.635543820000001</v>
      </c>
      <c r="L264">
        <v>12.635543820000001</v>
      </c>
      <c r="M264">
        <v>2.5365138049999998</v>
      </c>
      <c r="N264">
        <v>1</v>
      </c>
      <c r="O264">
        <v>2.5365138049999998</v>
      </c>
    </row>
    <row r="265" spans="1:15">
      <c r="A265">
        <v>-0.530576194</v>
      </c>
      <c r="B265">
        <v>-1.5283714049999999</v>
      </c>
      <c r="C265">
        <v>-0.265288097</v>
      </c>
      <c r="D265">
        <v>-1.4592768330000001</v>
      </c>
      <c r="E265">
        <v>2</v>
      </c>
      <c r="F265">
        <v>29</v>
      </c>
      <c r="G265">
        <v>16</v>
      </c>
      <c r="H265">
        <v>0</v>
      </c>
      <c r="I265">
        <v>4</v>
      </c>
      <c r="J265">
        <v>26.088678359999999</v>
      </c>
      <c r="K265">
        <v>19.616542819999999</v>
      </c>
      <c r="N265">
        <v>0</v>
      </c>
      <c r="O265">
        <v>0</v>
      </c>
    </row>
    <row r="266" spans="1:15">
      <c r="A266">
        <v>-0.67836506799999996</v>
      </c>
      <c r="B266">
        <v>0.80531414400000001</v>
      </c>
      <c r="C266">
        <v>-0.33918253399999998</v>
      </c>
      <c r="D266">
        <v>9.5027801999999995E-2</v>
      </c>
      <c r="E266">
        <v>3</v>
      </c>
      <c r="F266">
        <v>35</v>
      </c>
      <c r="G266">
        <v>16</v>
      </c>
      <c r="H266">
        <v>1</v>
      </c>
      <c r="I266">
        <v>1</v>
      </c>
      <c r="J266">
        <v>37.14033508</v>
      </c>
      <c r="K266">
        <v>19.92980957</v>
      </c>
      <c r="L266">
        <v>19.92980957</v>
      </c>
      <c r="M266">
        <v>2.9922165870000001</v>
      </c>
      <c r="N266">
        <v>1</v>
      </c>
      <c r="O266">
        <v>2.9922165870000001</v>
      </c>
    </row>
    <row r="267" spans="1:15">
      <c r="A267">
        <v>-0.372993978</v>
      </c>
      <c r="B267">
        <v>0.764970704</v>
      </c>
      <c r="C267">
        <v>-0.186496989</v>
      </c>
      <c r="D267">
        <v>0.281181246</v>
      </c>
      <c r="E267">
        <v>4</v>
      </c>
      <c r="F267">
        <v>36</v>
      </c>
      <c r="G267">
        <v>16</v>
      </c>
      <c r="H267">
        <v>1</v>
      </c>
      <c r="I267">
        <v>3</v>
      </c>
      <c r="J267">
        <v>49.774173740000002</v>
      </c>
      <c r="K267">
        <v>21.962036130000001</v>
      </c>
      <c r="L267">
        <v>21.962036130000001</v>
      </c>
      <c r="M267">
        <v>3.0893154140000001</v>
      </c>
      <c r="N267">
        <v>1</v>
      </c>
      <c r="O267">
        <v>3.0893154140000001</v>
      </c>
    </row>
    <row r="268" spans="1:15">
      <c r="A268">
        <v>-8.0047013E-2</v>
      </c>
      <c r="B268">
        <v>-1.0909852330000001</v>
      </c>
      <c r="C268">
        <v>-4.0023506E-2</v>
      </c>
      <c r="D268">
        <v>-0.83154330399999998</v>
      </c>
      <c r="E268">
        <v>5</v>
      </c>
      <c r="F268">
        <v>31</v>
      </c>
      <c r="G268">
        <v>16</v>
      </c>
      <c r="H268">
        <v>1</v>
      </c>
      <c r="I268">
        <v>4</v>
      </c>
      <c r="J268">
        <v>39.421482089999998</v>
      </c>
      <c r="K268">
        <v>22.719717030000002</v>
      </c>
      <c r="L268">
        <v>22.719717030000002</v>
      </c>
      <c r="M268">
        <v>3.1232330799999999</v>
      </c>
      <c r="N268">
        <v>1</v>
      </c>
      <c r="O268">
        <v>3.1232330799999999</v>
      </c>
    </row>
    <row r="269" spans="1:15">
      <c r="A269">
        <v>-0.92325452799999996</v>
      </c>
      <c r="B269">
        <v>-4.0239267000000002E-2</v>
      </c>
      <c r="C269">
        <v>-0.46162726399999998</v>
      </c>
      <c r="D269">
        <v>-0.67807896700000003</v>
      </c>
      <c r="E269">
        <v>6</v>
      </c>
      <c r="F269">
        <v>33</v>
      </c>
      <c r="G269">
        <v>10</v>
      </c>
      <c r="H269">
        <v>1</v>
      </c>
      <c r="I269">
        <v>1</v>
      </c>
      <c r="J269">
        <v>22.56305313</v>
      </c>
      <c r="K269">
        <v>12.06047249</v>
      </c>
      <c r="N269">
        <v>0</v>
      </c>
      <c r="O269">
        <v>0</v>
      </c>
    </row>
    <row r="270" spans="1:15">
      <c r="A270">
        <v>-3.1435201000000003E-2</v>
      </c>
      <c r="B270">
        <v>-1.101195626</v>
      </c>
      <c r="C270">
        <v>-1.5717601000000001E-2</v>
      </c>
      <c r="D270">
        <v>-0.80460145000000005</v>
      </c>
      <c r="E270">
        <v>7</v>
      </c>
      <c r="F270">
        <v>46</v>
      </c>
      <c r="G270">
        <v>16</v>
      </c>
      <c r="H270">
        <v>1</v>
      </c>
      <c r="I270">
        <v>4</v>
      </c>
      <c r="J270">
        <v>45.744781490000001</v>
      </c>
      <c r="K270">
        <v>26.011388780000001</v>
      </c>
      <c r="L270">
        <v>26.011388780000001</v>
      </c>
      <c r="M270">
        <v>3.2585344310000002</v>
      </c>
      <c r="N270">
        <v>1</v>
      </c>
      <c r="O270">
        <v>3.2585344310000002</v>
      </c>
    </row>
    <row r="271" spans="1:15">
      <c r="A271">
        <v>0.85749199899999995</v>
      </c>
      <c r="B271">
        <v>-0.17691166</v>
      </c>
      <c r="C271">
        <v>0.42874599899999999</v>
      </c>
      <c r="D271">
        <v>0.47751361599999997</v>
      </c>
      <c r="E271">
        <v>8</v>
      </c>
      <c r="F271">
        <v>36</v>
      </c>
      <c r="G271">
        <v>20</v>
      </c>
      <c r="H271">
        <v>1</v>
      </c>
      <c r="I271">
        <v>0</v>
      </c>
      <c r="J271">
        <v>40.130165099999999</v>
      </c>
      <c r="K271">
        <v>33.344951629999997</v>
      </c>
      <c r="L271">
        <v>33.344951629999997</v>
      </c>
      <c r="M271">
        <v>3.5069062710000001</v>
      </c>
      <c r="N271">
        <v>1</v>
      </c>
      <c r="O271">
        <v>3.5069062710000001</v>
      </c>
    </row>
    <row r="272" spans="1:15">
      <c r="A272">
        <v>0.96951174699999998</v>
      </c>
      <c r="B272">
        <v>-3.7968986000000003E-2</v>
      </c>
      <c r="C272">
        <v>0.48475587399999998</v>
      </c>
      <c r="D272">
        <v>0.65504650600000003</v>
      </c>
      <c r="E272">
        <v>9</v>
      </c>
      <c r="F272">
        <v>39</v>
      </c>
      <c r="G272">
        <v>20</v>
      </c>
      <c r="H272">
        <v>1</v>
      </c>
      <c r="I272">
        <v>2</v>
      </c>
      <c r="J272">
        <v>53.460559840000002</v>
      </c>
      <c r="K272">
        <v>34.617069239999999</v>
      </c>
      <c r="L272">
        <v>34.617069239999999</v>
      </c>
      <c r="M272">
        <v>3.5443468089999999</v>
      </c>
      <c r="N272">
        <v>1</v>
      </c>
      <c r="O272">
        <v>3.5443468089999999</v>
      </c>
    </row>
    <row r="273" spans="1:15">
      <c r="A273">
        <v>1.494657042</v>
      </c>
      <c r="B273">
        <v>-0.39388855099999998</v>
      </c>
      <c r="C273">
        <v>0.74732852100000002</v>
      </c>
      <c r="D273">
        <v>0.77156334900000001</v>
      </c>
      <c r="E273">
        <v>0</v>
      </c>
      <c r="F273">
        <v>26</v>
      </c>
      <c r="G273">
        <v>10</v>
      </c>
      <c r="H273">
        <v>0</v>
      </c>
      <c r="I273">
        <v>1</v>
      </c>
      <c r="J273">
        <v>32.15876007</v>
      </c>
      <c r="K273">
        <v>25.167942050000001</v>
      </c>
      <c r="L273">
        <v>25.167942050000001</v>
      </c>
      <c r="M273">
        <v>3.225571156</v>
      </c>
      <c r="N273">
        <v>1</v>
      </c>
      <c r="O273">
        <v>3.225571156</v>
      </c>
    </row>
    <row r="274" spans="1:15">
      <c r="A274">
        <v>0.20115385499999999</v>
      </c>
      <c r="B274">
        <v>-0.45470912200000002</v>
      </c>
      <c r="C274">
        <v>0.100576927</v>
      </c>
      <c r="D274">
        <v>-0.181600663</v>
      </c>
      <c r="E274">
        <v>1</v>
      </c>
      <c r="F274">
        <v>23</v>
      </c>
      <c r="G274">
        <v>10</v>
      </c>
      <c r="H274">
        <v>0</v>
      </c>
      <c r="I274">
        <v>2</v>
      </c>
      <c r="J274">
        <v>24.520792010000001</v>
      </c>
      <c r="K274">
        <v>16.806922910000001</v>
      </c>
      <c r="N274">
        <v>0</v>
      </c>
      <c r="O274">
        <v>0</v>
      </c>
    </row>
    <row r="275" spans="1:15">
      <c r="A275">
        <v>1.182075094</v>
      </c>
      <c r="B275">
        <v>0.33604220699999998</v>
      </c>
      <c r="C275">
        <v>0.591037547</v>
      </c>
      <c r="D275">
        <v>1.070344215</v>
      </c>
      <c r="E275">
        <v>2</v>
      </c>
      <c r="F275">
        <v>28</v>
      </c>
      <c r="G275">
        <v>10</v>
      </c>
      <c r="H275">
        <v>0</v>
      </c>
      <c r="I275">
        <v>1</v>
      </c>
      <c r="J275">
        <v>36.544132230000002</v>
      </c>
      <c r="K275">
        <v>23.692451479999999</v>
      </c>
      <c r="L275">
        <v>23.692451479999999</v>
      </c>
      <c r="M275">
        <v>3.1651566029999998</v>
      </c>
      <c r="N275">
        <v>1</v>
      </c>
      <c r="O275">
        <v>3.1651566029999998</v>
      </c>
    </row>
    <row r="276" spans="1:15">
      <c r="A276">
        <v>7.5095173000000001E-2</v>
      </c>
      <c r="B276">
        <v>0.95839778099999995</v>
      </c>
      <c r="C276">
        <v>3.7547586000000001E-2</v>
      </c>
      <c r="D276">
        <v>0.73384581999999998</v>
      </c>
      <c r="E276">
        <v>3</v>
      </c>
      <c r="F276">
        <v>49</v>
      </c>
      <c r="G276">
        <v>10</v>
      </c>
      <c r="H276">
        <v>1</v>
      </c>
      <c r="I276">
        <v>0</v>
      </c>
      <c r="J276">
        <v>40.906150820000001</v>
      </c>
      <c r="K276">
        <v>21.2505703</v>
      </c>
      <c r="L276">
        <v>21.2505703</v>
      </c>
      <c r="M276">
        <v>3.0563838479999998</v>
      </c>
      <c r="N276">
        <v>1</v>
      </c>
      <c r="O276">
        <v>3.0563838479999998</v>
      </c>
    </row>
    <row r="277" spans="1:15">
      <c r="A277">
        <v>0.38942422900000001</v>
      </c>
      <c r="B277">
        <v>-0.44649934699999999</v>
      </c>
      <c r="C277">
        <v>0.19471211399999999</v>
      </c>
      <c r="D277">
        <v>-4.3323608999999999E-2</v>
      </c>
      <c r="E277">
        <v>4</v>
      </c>
      <c r="F277">
        <v>51</v>
      </c>
      <c r="G277">
        <v>10</v>
      </c>
      <c r="H277">
        <v>0</v>
      </c>
      <c r="I277">
        <v>4</v>
      </c>
      <c r="J277">
        <v>47.380115510000003</v>
      </c>
      <c r="K277">
        <v>23.536544800000001</v>
      </c>
      <c r="L277">
        <v>23.536544800000001</v>
      </c>
      <c r="M277">
        <v>3.158554316</v>
      </c>
      <c r="N277">
        <v>1</v>
      </c>
      <c r="O277">
        <v>3.158554316</v>
      </c>
    </row>
    <row r="278" spans="1:15">
      <c r="A278">
        <v>-1.5109233339999999</v>
      </c>
      <c r="B278">
        <v>0.86416085600000003</v>
      </c>
      <c r="C278">
        <v>-0.75546166699999995</v>
      </c>
      <c r="D278">
        <v>-0.44884016700000001</v>
      </c>
      <c r="E278">
        <v>5</v>
      </c>
      <c r="F278">
        <v>37</v>
      </c>
      <c r="G278">
        <v>16</v>
      </c>
      <c r="H278">
        <v>0</v>
      </c>
      <c r="I278">
        <v>4</v>
      </c>
      <c r="J278">
        <v>41.41391754</v>
      </c>
      <c r="K278">
        <v>15.33446026</v>
      </c>
      <c r="L278">
        <v>15.33446026</v>
      </c>
      <c r="M278">
        <v>2.7301025390000002</v>
      </c>
      <c r="N278">
        <v>1</v>
      </c>
      <c r="O278">
        <v>2.7301025390000002</v>
      </c>
    </row>
    <row r="279" spans="1:15">
      <c r="A279">
        <v>-0.65301063400000003</v>
      </c>
      <c r="B279">
        <v>-0.74303418399999999</v>
      </c>
      <c r="C279">
        <v>-0.32650531700000002</v>
      </c>
      <c r="D279">
        <v>-0.98736137499999999</v>
      </c>
      <c r="E279">
        <v>6</v>
      </c>
      <c r="F279">
        <v>32</v>
      </c>
      <c r="G279">
        <v>16</v>
      </c>
      <c r="H279">
        <v>1</v>
      </c>
      <c r="I279">
        <v>3</v>
      </c>
      <c r="J279">
        <v>32.951663969999998</v>
      </c>
      <c r="K279">
        <v>19.481935499999999</v>
      </c>
      <c r="L279">
        <v>19.481935499999999</v>
      </c>
      <c r="M279">
        <v>2.9694876670000001</v>
      </c>
      <c r="N279">
        <v>1</v>
      </c>
      <c r="O279">
        <v>2.9694876670000001</v>
      </c>
    </row>
    <row r="280" spans="1:15">
      <c r="A280">
        <v>0.76198301999999996</v>
      </c>
      <c r="B280">
        <v>-1.1898967629999999</v>
      </c>
      <c r="C280">
        <v>0.38099150999999998</v>
      </c>
      <c r="D280">
        <v>-0.30948144999999999</v>
      </c>
      <c r="E280">
        <v>7</v>
      </c>
      <c r="F280">
        <v>41</v>
      </c>
      <c r="G280">
        <v>16</v>
      </c>
      <c r="H280">
        <v>1</v>
      </c>
      <c r="I280">
        <v>1</v>
      </c>
      <c r="J280">
        <v>34.68622208</v>
      </c>
      <c r="K280">
        <v>29.771898270000001</v>
      </c>
      <c r="L280">
        <v>29.771898270000001</v>
      </c>
      <c r="M280">
        <v>3.393564939</v>
      </c>
      <c r="N280">
        <v>1</v>
      </c>
      <c r="O280">
        <v>3.393564939</v>
      </c>
    </row>
    <row r="281" spans="1:15">
      <c r="A281">
        <v>-0.203097574</v>
      </c>
      <c r="B281">
        <v>-1.037694264</v>
      </c>
      <c r="C281">
        <v>-0.101548787</v>
      </c>
      <c r="D281">
        <v>-0.88023870400000004</v>
      </c>
      <c r="E281">
        <v>8</v>
      </c>
      <c r="F281">
        <v>57</v>
      </c>
      <c r="G281">
        <v>16</v>
      </c>
      <c r="H281">
        <v>1</v>
      </c>
      <c r="I281">
        <v>2</v>
      </c>
      <c r="J281">
        <v>39.237136839999998</v>
      </c>
      <c r="K281">
        <v>27.18141365</v>
      </c>
      <c r="L281">
        <v>27.18141365</v>
      </c>
      <c r="M281">
        <v>3.3025333880000001</v>
      </c>
      <c r="N281">
        <v>1</v>
      </c>
      <c r="O281">
        <v>3.3025333880000001</v>
      </c>
    </row>
    <row r="282" spans="1:15">
      <c r="A282">
        <v>-0.83734283200000004</v>
      </c>
      <c r="B282">
        <v>-1.026710228</v>
      </c>
      <c r="C282">
        <v>-0.41867141600000002</v>
      </c>
      <c r="D282">
        <v>-1.3186088469999999</v>
      </c>
      <c r="E282">
        <v>9</v>
      </c>
      <c r="F282">
        <v>39</v>
      </c>
      <c r="G282">
        <v>16</v>
      </c>
      <c r="H282">
        <v>1</v>
      </c>
      <c r="I282">
        <v>2</v>
      </c>
      <c r="J282">
        <v>26.776693340000001</v>
      </c>
      <c r="K282">
        <v>19.775943760000001</v>
      </c>
      <c r="N282">
        <v>0</v>
      </c>
      <c r="O282">
        <v>0</v>
      </c>
    </row>
    <row r="283" spans="1:15">
      <c r="A283">
        <v>0.96815364500000001</v>
      </c>
      <c r="B283">
        <v>0.47567750600000003</v>
      </c>
      <c r="C283">
        <v>0.48407682200000002</v>
      </c>
      <c r="D283">
        <v>1.019078044</v>
      </c>
      <c r="E283">
        <v>0</v>
      </c>
      <c r="F283">
        <v>29</v>
      </c>
      <c r="G283">
        <v>10</v>
      </c>
      <c r="H283">
        <v>0</v>
      </c>
      <c r="I283">
        <v>3</v>
      </c>
      <c r="J283">
        <v>46.328937529999997</v>
      </c>
      <c r="K283">
        <v>22.608921049999999</v>
      </c>
      <c r="L283">
        <v>22.608921049999999</v>
      </c>
      <c r="M283">
        <v>3.1183445449999998</v>
      </c>
      <c r="N283">
        <v>1</v>
      </c>
      <c r="O283">
        <v>3.1183445449999998</v>
      </c>
    </row>
    <row r="284" spans="1:15">
      <c r="A284">
        <v>0.99803102700000002</v>
      </c>
      <c r="B284">
        <v>0.85237001999999995</v>
      </c>
      <c r="C284">
        <v>0.49901551399999999</v>
      </c>
      <c r="D284">
        <v>1.3077661819999999</v>
      </c>
      <c r="E284">
        <v>1</v>
      </c>
      <c r="F284">
        <v>56</v>
      </c>
      <c r="G284">
        <v>10</v>
      </c>
      <c r="H284">
        <v>1</v>
      </c>
      <c r="I284">
        <v>1</v>
      </c>
      <c r="J284">
        <v>55.593193049999996</v>
      </c>
      <c r="K284">
        <v>28.188186649999999</v>
      </c>
      <c r="L284">
        <v>28.188186649999999</v>
      </c>
      <c r="M284">
        <v>3.33890295</v>
      </c>
      <c r="N284">
        <v>1</v>
      </c>
      <c r="O284">
        <v>3.33890295</v>
      </c>
    </row>
    <row r="285" spans="1:15">
      <c r="A285">
        <v>-0.97885265200000005</v>
      </c>
      <c r="B285">
        <v>0.27375066599999998</v>
      </c>
      <c r="C285">
        <v>-0.48942632600000002</v>
      </c>
      <c r="D285">
        <v>-0.49407584399999999</v>
      </c>
      <c r="E285">
        <v>2</v>
      </c>
      <c r="F285">
        <v>27</v>
      </c>
      <c r="G285">
        <v>10</v>
      </c>
      <c r="H285">
        <v>0</v>
      </c>
      <c r="I285">
        <v>0</v>
      </c>
      <c r="J285">
        <v>12.371089939999999</v>
      </c>
      <c r="K285">
        <v>10.52688408</v>
      </c>
      <c r="N285">
        <v>0</v>
      </c>
      <c r="O285">
        <v>0</v>
      </c>
    </row>
    <row r="286" spans="1:15">
      <c r="A286">
        <v>-1.893005289</v>
      </c>
      <c r="B286">
        <v>-3.7366551999999997E-2</v>
      </c>
      <c r="C286">
        <v>-0.94650264399999995</v>
      </c>
      <c r="D286">
        <v>-1.358232321</v>
      </c>
      <c r="E286">
        <v>3</v>
      </c>
      <c r="F286">
        <v>47</v>
      </c>
      <c r="G286">
        <v>16</v>
      </c>
      <c r="H286">
        <v>1</v>
      </c>
      <c r="I286">
        <v>2</v>
      </c>
      <c r="J286">
        <v>29.501213069999999</v>
      </c>
      <c r="K286">
        <v>15.041968349999999</v>
      </c>
      <c r="L286">
        <v>15.041968349999999</v>
      </c>
      <c r="M286">
        <v>2.7108442780000002</v>
      </c>
      <c r="N286">
        <v>1</v>
      </c>
      <c r="O286">
        <v>2.7108442780000002</v>
      </c>
    </row>
    <row r="287" spans="1:15">
      <c r="A287">
        <v>0.54691376999999997</v>
      </c>
      <c r="B287">
        <v>0.46717941000000002</v>
      </c>
      <c r="C287">
        <v>0.27345688499999998</v>
      </c>
      <c r="D287">
        <v>0.71670807999999997</v>
      </c>
      <c r="E287">
        <v>4</v>
      </c>
      <c r="F287">
        <v>33</v>
      </c>
      <c r="G287">
        <v>10</v>
      </c>
      <c r="H287">
        <v>1</v>
      </c>
      <c r="I287">
        <v>1</v>
      </c>
      <c r="J287">
        <v>39.300495150000003</v>
      </c>
      <c r="K287">
        <v>20.881483079999999</v>
      </c>
      <c r="L287">
        <v>20.881483079999999</v>
      </c>
      <c r="M287">
        <v>3.0388627050000001</v>
      </c>
      <c r="N287">
        <v>1</v>
      </c>
      <c r="O287">
        <v>3.0388627050000001</v>
      </c>
    </row>
    <row r="288" spans="1:15">
      <c r="A288">
        <v>-0.169890139</v>
      </c>
      <c r="B288">
        <v>-0.569438887</v>
      </c>
      <c r="C288">
        <v>-8.4945069999999998E-2</v>
      </c>
      <c r="D288">
        <v>-0.52414521999999997</v>
      </c>
      <c r="E288">
        <v>5</v>
      </c>
      <c r="F288">
        <v>32</v>
      </c>
      <c r="G288">
        <v>10</v>
      </c>
      <c r="H288">
        <v>1</v>
      </c>
      <c r="I288">
        <v>1</v>
      </c>
      <c r="J288">
        <v>24.010257719999998</v>
      </c>
      <c r="K288">
        <v>16.380659099999999</v>
      </c>
      <c r="N288">
        <v>0</v>
      </c>
      <c r="O288">
        <v>0</v>
      </c>
    </row>
    <row r="289" spans="1:15">
      <c r="A289">
        <v>-3.4829806999999997E-2</v>
      </c>
      <c r="B289">
        <v>0.64374927299999996</v>
      </c>
      <c r="C289">
        <v>-1.7414902999999999E-2</v>
      </c>
      <c r="D289">
        <v>0.432933493</v>
      </c>
      <c r="E289">
        <v>6</v>
      </c>
      <c r="F289">
        <v>33</v>
      </c>
      <c r="G289">
        <v>12</v>
      </c>
      <c r="H289">
        <v>1</v>
      </c>
      <c r="I289">
        <v>5</v>
      </c>
      <c r="J289">
        <v>57.395202640000001</v>
      </c>
      <c r="K289">
        <v>19.391021729999999</v>
      </c>
      <c r="L289">
        <v>19.391021729999999</v>
      </c>
      <c r="M289">
        <v>2.9648101329999998</v>
      </c>
      <c r="N289">
        <v>1</v>
      </c>
      <c r="O289">
        <v>2.9648101329999998</v>
      </c>
    </row>
    <row r="290" spans="1:15">
      <c r="A290">
        <v>0.16635235200000001</v>
      </c>
      <c r="B290">
        <v>-1.23817931</v>
      </c>
      <c r="C290">
        <v>8.3176176000000004E-2</v>
      </c>
      <c r="D290">
        <v>-0.76280087500000004</v>
      </c>
      <c r="E290">
        <v>7</v>
      </c>
      <c r="F290">
        <v>35</v>
      </c>
      <c r="G290">
        <v>20</v>
      </c>
      <c r="H290">
        <v>1</v>
      </c>
      <c r="I290">
        <v>0</v>
      </c>
      <c r="J290">
        <v>24.846389769999998</v>
      </c>
      <c r="K290">
        <v>28.998113629999999</v>
      </c>
      <c r="N290">
        <v>0</v>
      </c>
      <c r="O290">
        <v>0</v>
      </c>
    </row>
    <row r="291" spans="1:15">
      <c r="A291">
        <v>-1.314297284</v>
      </c>
      <c r="B291">
        <v>-0.347910787</v>
      </c>
      <c r="C291">
        <v>-0.65714864200000001</v>
      </c>
      <c r="D291">
        <v>-1.1717926910000001</v>
      </c>
      <c r="E291">
        <v>8</v>
      </c>
      <c r="F291">
        <v>42</v>
      </c>
      <c r="G291">
        <v>20</v>
      </c>
      <c r="H291">
        <v>1</v>
      </c>
      <c r="I291">
        <v>1</v>
      </c>
      <c r="J291">
        <v>27.738487240000001</v>
      </c>
      <c r="K291">
        <v>21.51421547</v>
      </c>
      <c r="N291">
        <v>0</v>
      </c>
      <c r="O291">
        <v>0</v>
      </c>
    </row>
    <row r="292" spans="1:15">
      <c r="A292">
        <v>-1.3368261829999999</v>
      </c>
      <c r="B292">
        <v>1.5247234439999999</v>
      </c>
      <c r="C292">
        <v>-0.66841309199999999</v>
      </c>
      <c r="D292">
        <v>0.14301525600000001</v>
      </c>
      <c r="E292">
        <v>9</v>
      </c>
      <c r="F292">
        <v>38</v>
      </c>
      <c r="G292">
        <v>16</v>
      </c>
      <c r="H292">
        <v>1</v>
      </c>
      <c r="I292">
        <v>1</v>
      </c>
      <c r="J292">
        <v>38.91618347</v>
      </c>
      <c r="K292">
        <v>16.579042430000001</v>
      </c>
      <c r="L292">
        <v>16.579042430000001</v>
      </c>
      <c r="M292">
        <v>2.8081393239999999</v>
      </c>
      <c r="N292">
        <v>1</v>
      </c>
      <c r="O292">
        <v>2.8081393239999999</v>
      </c>
    </row>
    <row r="293" spans="1:15">
      <c r="A293">
        <v>-0.35091426799999997</v>
      </c>
      <c r="B293">
        <v>0.252076894</v>
      </c>
      <c r="C293">
        <v>-0.17545713399999999</v>
      </c>
      <c r="D293">
        <v>-6.7738334999999997E-2</v>
      </c>
      <c r="E293">
        <v>0</v>
      </c>
      <c r="F293">
        <v>30</v>
      </c>
      <c r="G293">
        <v>10</v>
      </c>
      <c r="H293">
        <v>0</v>
      </c>
      <c r="I293">
        <v>0</v>
      </c>
      <c r="J293">
        <v>18.687139510000002</v>
      </c>
      <c r="K293">
        <v>14.89451408</v>
      </c>
      <c r="N293">
        <v>0</v>
      </c>
      <c r="O293">
        <v>0</v>
      </c>
    </row>
    <row r="294" spans="1:15">
      <c r="A294">
        <v>-1.175442715</v>
      </c>
      <c r="B294">
        <v>-1.0497132280000001</v>
      </c>
      <c r="C294">
        <v>-0.58772135800000003</v>
      </c>
      <c r="D294">
        <v>-1.5727988669999999</v>
      </c>
      <c r="E294">
        <v>1</v>
      </c>
      <c r="F294">
        <v>23</v>
      </c>
      <c r="G294">
        <v>10</v>
      </c>
      <c r="H294">
        <v>0</v>
      </c>
      <c r="I294">
        <v>1</v>
      </c>
      <c r="J294">
        <v>2.8264136309999999</v>
      </c>
      <c r="K294">
        <v>8.5473432539999994</v>
      </c>
      <c r="N294">
        <v>0</v>
      </c>
      <c r="O294">
        <v>0</v>
      </c>
    </row>
    <row r="295" spans="1:15">
      <c r="A295">
        <v>8.2881485000000005E-2</v>
      </c>
      <c r="B295">
        <v>-0.57625290500000004</v>
      </c>
      <c r="C295">
        <v>4.1440743000000002E-2</v>
      </c>
      <c r="D295">
        <v>-0.351168806</v>
      </c>
      <c r="E295">
        <v>2</v>
      </c>
      <c r="F295">
        <v>39</v>
      </c>
      <c r="G295">
        <v>10</v>
      </c>
      <c r="H295">
        <v>1</v>
      </c>
      <c r="I295">
        <v>0</v>
      </c>
      <c r="J295">
        <v>23.885974879999999</v>
      </c>
      <c r="K295">
        <v>19.297288890000001</v>
      </c>
      <c r="N295">
        <v>0</v>
      </c>
      <c r="O295">
        <v>0</v>
      </c>
    </row>
    <row r="296" spans="1:15">
      <c r="A296">
        <v>0.15402148099999999</v>
      </c>
      <c r="B296">
        <v>-0.196753235</v>
      </c>
      <c r="C296">
        <v>7.7010739999999994E-2</v>
      </c>
      <c r="D296">
        <v>-3.1458776000000001E-2</v>
      </c>
      <c r="E296">
        <v>3</v>
      </c>
      <c r="F296">
        <v>26</v>
      </c>
      <c r="G296">
        <v>10</v>
      </c>
      <c r="H296">
        <v>1</v>
      </c>
      <c r="I296">
        <v>1</v>
      </c>
      <c r="J296">
        <v>27.52249527</v>
      </c>
      <c r="K296">
        <v>17.124128339999999</v>
      </c>
      <c r="N296">
        <v>0</v>
      </c>
      <c r="O296">
        <v>0</v>
      </c>
    </row>
    <row r="297" spans="1:15">
      <c r="A297">
        <v>0.23114004899999999</v>
      </c>
      <c r="B297">
        <v>9.3651098000000002E-2</v>
      </c>
      <c r="C297">
        <v>0.11557002500000001</v>
      </c>
      <c r="D297">
        <v>0.229147661</v>
      </c>
      <c r="E297">
        <v>4</v>
      </c>
      <c r="F297">
        <v>36</v>
      </c>
      <c r="G297">
        <v>20</v>
      </c>
      <c r="H297">
        <v>1</v>
      </c>
      <c r="I297">
        <v>1</v>
      </c>
      <c r="J297">
        <v>42.149772640000002</v>
      </c>
      <c r="K297">
        <v>29.586839680000001</v>
      </c>
      <c r="L297">
        <v>29.586839680000001</v>
      </c>
      <c r="M297">
        <v>3.3873295780000001</v>
      </c>
      <c r="N297">
        <v>1</v>
      </c>
      <c r="O297">
        <v>3.3873295780000001</v>
      </c>
    </row>
    <row r="298" spans="1:15">
      <c r="A298">
        <v>-0.91383150999999996</v>
      </c>
      <c r="B298">
        <v>-1.8409538539999999</v>
      </c>
      <c r="C298">
        <v>-0.45691575499999998</v>
      </c>
      <c r="D298">
        <v>-1.951001902</v>
      </c>
      <c r="E298">
        <v>5</v>
      </c>
      <c r="F298">
        <v>30</v>
      </c>
      <c r="G298">
        <v>10</v>
      </c>
      <c r="H298">
        <v>0</v>
      </c>
      <c r="I298">
        <v>2</v>
      </c>
      <c r="J298">
        <v>6.0879774089999996</v>
      </c>
      <c r="K298">
        <v>11.517010689999999</v>
      </c>
      <c r="N298">
        <v>0</v>
      </c>
      <c r="O298">
        <v>0</v>
      </c>
    </row>
    <row r="299" spans="1:15">
      <c r="A299">
        <v>0.43948511000000001</v>
      </c>
      <c r="B299">
        <v>-0.746201279</v>
      </c>
      <c r="C299">
        <v>0.21974255500000001</v>
      </c>
      <c r="D299">
        <v>-0.22106927100000001</v>
      </c>
      <c r="E299">
        <v>6</v>
      </c>
      <c r="F299">
        <v>32</v>
      </c>
      <c r="G299">
        <v>12</v>
      </c>
      <c r="H299">
        <v>1</v>
      </c>
      <c r="I299">
        <v>1</v>
      </c>
      <c r="J299">
        <v>29.14716911</v>
      </c>
      <c r="K299">
        <v>22.036911010000001</v>
      </c>
      <c r="N299">
        <v>0</v>
      </c>
      <c r="O299">
        <v>0</v>
      </c>
    </row>
    <row r="300" spans="1:15">
      <c r="A300">
        <v>-1.098856864</v>
      </c>
      <c r="B300">
        <v>-2.30691165</v>
      </c>
      <c r="C300">
        <v>-0.54942843200000002</v>
      </c>
      <c r="D300">
        <v>-2.412262761</v>
      </c>
      <c r="E300">
        <v>7</v>
      </c>
      <c r="F300">
        <v>47</v>
      </c>
      <c r="G300">
        <v>16</v>
      </c>
      <c r="H300">
        <v>1</v>
      </c>
      <c r="I300">
        <v>1</v>
      </c>
      <c r="J300">
        <v>11.8528471</v>
      </c>
      <c r="K300">
        <v>19.80685806</v>
      </c>
      <c r="N300">
        <v>0</v>
      </c>
      <c r="O300">
        <v>0</v>
      </c>
    </row>
    <row r="301" spans="1:15">
      <c r="A301">
        <v>0.14249599700000001</v>
      </c>
      <c r="B301">
        <v>0.12636130800000001</v>
      </c>
      <c r="C301">
        <v>7.1247998000000007E-2</v>
      </c>
      <c r="D301">
        <v>0.19003207799999999</v>
      </c>
      <c r="E301">
        <v>8</v>
      </c>
      <c r="F301">
        <v>36</v>
      </c>
      <c r="G301">
        <v>12</v>
      </c>
      <c r="H301">
        <v>1</v>
      </c>
      <c r="I301">
        <v>1</v>
      </c>
      <c r="J301">
        <v>35.68038559</v>
      </c>
      <c r="K301">
        <v>21.054975509999998</v>
      </c>
      <c r="L301">
        <v>21.054975509999998</v>
      </c>
      <c r="M301">
        <v>3.0471367840000001</v>
      </c>
      <c r="N301">
        <v>1</v>
      </c>
      <c r="O301">
        <v>3.0471367840000001</v>
      </c>
    </row>
    <row r="302" spans="1:15">
      <c r="A302">
        <v>-0.49272357700000002</v>
      </c>
      <c r="B302">
        <v>-0.58677800499999999</v>
      </c>
      <c r="C302">
        <v>-0.246361789</v>
      </c>
      <c r="D302">
        <v>-0.76357104799999997</v>
      </c>
      <c r="E302">
        <v>9</v>
      </c>
      <c r="F302">
        <v>51</v>
      </c>
      <c r="G302">
        <v>16</v>
      </c>
      <c r="H302">
        <v>1</v>
      </c>
      <c r="I302">
        <v>4</v>
      </c>
      <c r="J302">
        <v>48.23714828</v>
      </c>
      <c r="K302">
        <v>24.243658069999999</v>
      </c>
      <c r="L302">
        <v>24.243658069999999</v>
      </c>
      <c r="M302">
        <v>3.1881551739999998</v>
      </c>
      <c r="N302">
        <v>1</v>
      </c>
      <c r="O302">
        <v>3.1881551739999998</v>
      </c>
    </row>
    <row r="303" spans="1:15">
      <c r="A303">
        <v>0.142123844</v>
      </c>
      <c r="B303">
        <v>0.591601394</v>
      </c>
      <c r="C303">
        <v>7.1061922E-2</v>
      </c>
      <c r="D303">
        <v>0.52036058200000002</v>
      </c>
      <c r="E303">
        <v>0</v>
      </c>
      <c r="F303">
        <v>20</v>
      </c>
      <c r="G303">
        <v>10</v>
      </c>
      <c r="H303">
        <v>1</v>
      </c>
      <c r="I303">
        <v>0</v>
      </c>
      <c r="J303">
        <v>26.744327550000001</v>
      </c>
      <c r="K303">
        <v>15.85274315</v>
      </c>
      <c r="N303">
        <v>0</v>
      </c>
      <c r="O303">
        <v>0</v>
      </c>
    </row>
    <row r="304" spans="1:15">
      <c r="A304">
        <v>-0.65720690199999998</v>
      </c>
      <c r="B304">
        <v>1.604068815</v>
      </c>
      <c r="C304">
        <v>-0.32860345099999999</v>
      </c>
      <c r="D304">
        <v>0.67749112600000005</v>
      </c>
      <c r="E304">
        <v>1</v>
      </c>
      <c r="F304">
        <v>27</v>
      </c>
      <c r="G304">
        <v>10</v>
      </c>
      <c r="H304">
        <v>1</v>
      </c>
      <c r="I304">
        <v>3</v>
      </c>
      <c r="J304">
        <v>46.429893489999998</v>
      </c>
      <c r="K304">
        <v>12.456758499999999</v>
      </c>
      <c r="L304">
        <v>12.456758499999999</v>
      </c>
      <c r="M304">
        <v>2.522263288</v>
      </c>
      <c r="N304">
        <v>1</v>
      </c>
      <c r="O304">
        <v>2.522263288</v>
      </c>
    </row>
    <row r="305" spans="1:15">
      <c r="A305">
        <v>-0.78372998100000002</v>
      </c>
      <c r="B305">
        <v>-1.4830463039999999</v>
      </c>
      <c r="C305">
        <v>-0.391864991</v>
      </c>
      <c r="D305">
        <v>-1.605156882</v>
      </c>
      <c r="E305">
        <v>2</v>
      </c>
      <c r="F305">
        <v>52</v>
      </c>
      <c r="G305">
        <v>20</v>
      </c>
      <c r="H305">
        <v>1</v>
      </c>
      <c r="I305">
        <v>0</v>
      </c>
      <c r="J305">
        <v>21.538118359999999</v>
      </c>
      <c r="K305">
        <v>26.697620390000001</v>
      </c>
      <c r="N305">
        <v>0</v>
      </c>
      <c r="O305">
        <v>0</v>
      </c>
    </row>
    <row r="306" spans="1:15">
      <c r="A306">
        <v>0.264392444</v>
      </c>
      <c r="B306">
        <v>1.553216484</v>
      </c>
      <c r="C306">
        <v>0.132196222</v>
      </c>
      <c r="D306">
        <v>1.289677846</v>
      </c>
      <c r="E306">
        <v>3</v>
      </c>
      <c r="F306">
        <v>30</v>
      </c>
      <c r="G306">
        <v>12</v>
      </c>
      <c r="H306">
        <v>0</v>
      </c>
      <c r="I306">
        <v>1</v>
      </c>
      <c r="J306">
        <v>41.476135249999999</v>
      </c>
      <c r="K306">
        <v>20.586355210000001</v>
      </c>
      <c r="L306">
        <v>20.586355210000001</v>
      </c>
      <c r="M306">
        <v>3.0246284010000002</v>
      </c>
      <c r="N306">
        <v>1</v>
      </c>
      <c r="O306">
        <v>3.0246284010000002</v>
      </c>
    </row>
    <row r="307" spans="1:15">
      <c r="A307">
        <v>0.45149561199999999</v>
      </c>
      <c r="B307">
        <v>2.7296354840000001</v>
      </c>
      <c r="C307">
        <v>0.225747806</v>
      </c>
      <c r="D307">
        <v>2.2572399220000001</v>
      </c>
      <c r="E307">
        <v>4</v>
      </c>
      <c r="F307">
        <v>38</v>
      </c>
      <c r="G307">
        <v>10</v>
      </c>
      <c r="H307">
        <v>1</v>
      </c>
      <c r="I307">
        <v>1</v>
      </c>
      <c r="J307">
        <v>59.786880490000001</v>
      </c>
      <c r="K307">
        <v>21.308973309999999</v>
      </c>
      <c r="L307">
        <v>21.308973309999999</v>
      </c>
      <c r="M307">
        <v>3.0591282839999998</v>
      </c>
      <c r="N307">
        <v>1</v>
      </c>
      <c r="O307">
        <v>3.0591282839999998</v>
      </c>
    </row>
    <row r="308" spans="1:15">
      <c r="A308">
        <v>-0.96492549900000002</v>
      </c>
      <c r="B308">
        <v>-0.72980280900000005</v>
      </c>
      <c r="C308">
        <v>-0.48246275</v>
      </c>
      <c r="D308">
        <v>-1.197383487</v>
      </c>
      <c r="E308">
        <v>5</v>
      </c>
      <c r="F308">
        <v>39</v>
      </c>
      <c r="G308">
        <v>20</v>
      </c>
      <c r="H308">
        <v>1</v>
      </c>
      <c r="I308">
        <v>2</v>
      </c>
      <c r="J308">
        <v>31.23139763</v>
      </c>
      <c r="K308">
        <v>23.010446550000001</v>
      </c>
      <c r="L308">
        <v>23.010446550000001</v>
      </c>
      <c r="M308">
        <v>3.1359484200000001</v>
      </c>
      <c r="N308">
        <v>1</v>
      </c>
      <c r="O308">
        <v>3.1359484200000001</v>
      </c>
    </row>
    <row r="309" spans="1:15">
      <c r="A309">
        <v>-0.98073199200000005</v>
      </c>
      <c r="B309">
        <v>-0.89897572800000003</v>
      </c>
      <c r="C309">
        <v>-0.49036599600000003</v>
      </c>
      <c r="D309">
        <v>-1.3287138409999999</v>
      </c>
      <c r="E309">
        <v>6</v>
      </c>
      <c r="F309">
        <v>35</v>
      </c>
      <c r="G309">
        <v>12</v>
      </c>
      <c r="H309">
        <v>1</v>
      </c>
      <c r="I309">
        <v>0</v>
      </c>
      <c r="J309">
        <v>12.055434229999999</v>
      </c>
      <c r="K309">
        <v>14.11560822</v>
      </c>
      <c r="N309">
        <v>0</v>
      </c>
      <c r="O309">
        <v>0</v>
      </c>
    </row>
    <row r="310" spans="1:15">
      <c r="A310">
        <v>1.116527705</v>
      </c>
      <c r="B310">
        <v>-1.263646373</v>
      </c>
      <c r="C310">
        <v>0.55826385199999995</v>
      </c>
      <c r="D310">
        <v>-0.112473407</v>
      </c>
      <c r="E310">
        <v>7</v>
      </c>
      <c r="F310">
        <v>37</v>
      </c>
      <c r="G310">
        <v>20</v>
      </c>
      <c r="H310">
        <v>1</v>
      </c>
      <c r="I310">
        <v>1</v>
      </c>
      <c r="J310">
        <v>38.450317380000001</v>
      </c>
      <c r="K310">
        <v>35.099166869999998</v>
      </c>
      <c r="L310">
        <v>35.099166869999998</v>
      </c>
      <c r="M310">
        <v>3.558177471</v>
      </c>
      <c r="N310">
        <v>1</v>
      </c>
      <c r="O310">
        <v>3.558177471</v>
      </c>
    </row>
    <row r="311" spans="1:15">
      <c r="A311">
        <v>1.08282444</v>
      </c>
      <c r="B311">
        <v>1.6035675119999999</v>
      </c>
      <c r="C311">
        <v>0.54141222</v>
      </c>
      <c r="D311">
        <v>1.9012020810000001</v>
      </c>
      <c r="E311">
        <v>8</v>
      </c>
      <c r="F311">
        <v>36</v>
      </c>
      <c r="G311">
        <v>12</v>
      </c>
      <c r="H311">
        <v>1</v>
      </c>
      <c r="I311">
        <v>0</v>
      </c>
      <c r="J311">
        <v>51.214424129999998</v>
      </c>
      <c r="K311">
        <v>26.696947099999999</v>
      </c>
      <c r="L311">
        <v>26.696947099999999</v>
      </c>
      <c r="M311">
        <v>3.2845492360000001</v>
      </c>
      <c r="N311">
        <v>1</v>
      </c>
      <c r="O311">
        <v>3.2845492360000001</v>
      </c>
    </row>
    <row r="312" spans="1:15">
      <c r="A312">
        <v>-0.185255844</v>
      </c>
      <c r="B312">
        <v>1.905997248</v>
      </c>
      <c r="C312">
        <v>-9.2627922000000001E-2</v>
      </c>
      <c r="D312">
        <v>1.224040832</v>
      </c>
      <c r="E312">
        <v>9</v>
      </c>
      <c r="F312">
        <v>38</v>
      </c>
      <c r="G312">
        <v>20</v>
      </c>
      <c r="H312">
        <v>1</v>
      </c>
      <c r="I312">
        <v>0</v>
      </c>
      <c r="J312">
        <v>49.888488770000002</v>
      </c>
      <c r="K312">
        <v>27.488464359999998</v>
      </c>
      <c r="L312">
        <v>27.488464359999998</v>
      </c>
      <c r="M312">
        <v>3.3137664789999999</v>
      </c>
      <c r="N312">
        <v>1</v>
      </c>
      <c r="O312">
        <v>3.3137664789999999</v>
      </c>
    </row>
    <row r="313" spans="1:15">
      <c r="A313">
        <v>-0.28621918099999999</v>
      </c>
      <c r="B313">
        <v>0.81221679099999999</v>
      </c>
      <c r="C313">
        <v>-0.14310959000000001</v>
      </c>
      <c r="D313">
        <v>0.375797202</v>
      </c>
      <c r="E313">
        <v>0</v>
      </c>
      <c r="F313">
        <v>25</v>
      </c>
      <c r="G313">
        <v>10</v>
      </c>
      <c r="H313">
        <v>0</v>
      </c>
      <c r="I313">
        <v>0</v>
      </c>
      <c r="J313">
        <v>22.009567260000001</v>
      </c>
      <c r="K313">
        <v>14.282685280000001</v>
      </c>
      <c r="N313">
        <v>0</v>
      </c>
      <c r="O313">
        <v>0</v>
      </c>
    </row>
    <row r="314" spans="1:15">
      <c r="A314">
        <v>-0.86612245399999999</v>
      </c>
      <c r="B314">
        <v>0.28924324000000001</v>
      </c>
      <c r="C314">
        <v>-0.43306122699999999</v>
      </c>
      <c r="D314">
        <v>-0.403764344</v>
      </c>
      <c r="E314">
        <v>1</v>
      </c>
      <c r="F314">
        <v>27</v>
      </c>
      <c r="G314">
        <v>12</v>
      </c>
      <c r="H314">
        <v>0</v>
      </c>
      <c r="I314">
        <v>3</v>
      </c>
      <c r="J314">
        <v>29.954828259999999</v>
      </c>
      <c r="K314">
        <v>13.20326519</v>
      </c>
      <c r="L314">
        <v>13.20326519</v>
      </c>
      <c r="M314">
        <v>2.5804641250000002</v>
      </c>
      <c r="N314">
        <v>1</v>
      </c>
      <c r="O314">
        <v>2.5804641250000002</v>
      </c>
    </row>
    <row r="315" spans="1:15">
      <c r="A315">
        <v>1.5431755549999999</v>
      </c>
      <c r="B315">
        <v>-0.32671333600000002</v>
      </c>
      <c r="C315">
        <v>0.771587778</v>
      </c>
      <c r="D315">
        <v>0.85342823700000003</v>
      </c>
      <c r="E315">
        <v>2</v>
      </c>
      <c r="F315">
        <v>36</v>
      </c>
      <c r="G315">
        <v>20</v>
      </c>
      <c r="H315">
        <v>0</v>
      </c>
      <c r="I315">
        <v>2</v>
      </c>
      <c r="J315">
        <v>49.641139979999998</v>
      </c>
      <c r="K315">
        <v>37.459053040000001</v>
      </c>
      <c r="L315">
        <v>37.459053040000001</v>
      </c>
      <c r="M315">
        <v>3.6232483389999999</v>
      </c>
      <c r="N315">
        <v>1</v>
      </c>
      <c r="O315">
        <v>3.6232483389999999</v>
      </c>
    </row>
    <row r="316" spans="1:15">
      <c r="A316">
        <v>-0.72858293100000004</v>
      </c>
      <c r="B316">
        <v>0.800794114</v>
      </c>
      <c r="C316">
        <v>-0.36429146600000001</v>
      </c>
      <c r="D316">
        <v>5.6488986999999997E-2</v>
      </c>
      <c r="E316">
        <v>3</v>
      </c>
      <c r="F316">
        <v>29</v>
      </c>
      <c r="G316">
        <v>12</v>
      </c>
      <c r="H316">
        <v>0</v>
      </c>
      <c r="I316">
        <v>3</v>
      </c>
      <c r="J316">
        <v>36.277866359999997</v>
      </c>
      <c r="K316">
        <v>14.428502079999999</v>
      </c>
      <c r="L316">
        <v>14.428502079999999</v>
      </c>
      <c r="M316">
        <v>2.6692056659999999</v>
      </c>
      <c r="N316">
        <v>1</v>
      </c>
      <c r="O316">
        <v>2.6692056659999999</v>
      </c>
    </row>
    <row r="317" spans="1:15">
      <c r="A317">
        <v>-0.35927022199999997</v>
      </c>
      <c r="B317">
        <v>-0.67182984400000001</v>
      </c>
      <c r="C317">
        <v>-0.17963511099999999</v>
      </c>
      <c r="D317">
        <v>-0.73012619000000001</v>
      </c>
      <c r="E317">
        <v>4</v>
      </c>
      <c r="F317">
        <v>28</v>
      </c>
      <c r="G317">
        <v>10</v>
      </c>
      <c r="H317">
        <v>0</v>
      </c>
      <c r="I317">
        <v>1</v>
      </c>
      <c r="J317">
        <v>14.9384861</v>
      </c>
      <c r="K317">
        <v>14.44437885</v>
      </c>
      <c r="N317">
        <v>0</v>
      </c>
      <c r="O317">
        <v>0</v>
      </c>
    </row>
    <row r="318" spans="1:15">
      <c r="A318">
        <v>6.2797046999999995E-2</v>
      </c>
      <c r="B318">
        <v>1.0292497060000001</v>
      </c>
      <c r="C318">
        <v>3.1398523999999997E-2</v>
      </c>
      <c r="D318">
        <v>0.77554036699999995</v>
      </c>
      <c r="E318">
        <v>5</v>
      </c>
      <c r="F318">
        <v>30</v>
      </c>
      <c r="G318">
        <v>12</v>
      </c>
      <c r="H318">
        <v>1</v>
      </c>
      <c r="I318">
        <v>0</v>
      </c>
      <c r="J318">
        <v>35.306484220000002</v>
      </c>
      <c r="K318">
        <v>19.37678146</v>
      </c>
      <c r="L318">
        <v>19.37678146</v>
      </c>
      <c r="M318">
        <v>2.9640755649999999</v>
      </c>
      <c r="N318">
        <v>1</v>
      </c>
      <c r="O318">
        <v>2.9640755649999999</v>
      </c>
    </row>
    <row r="319" spans="1:15">
      <c r="A319">
        <v>-2.3824189539999998</v>
      </c>
      <c r="B319">
        <v>-0.52171337399999995</v>
      </c>
      <c r="C319">
        <v>-1.1912094769999999</v>
      </c>
      <c r="D319">
        <v>-2.0466893800000001</v>
      </c>
      <c r="E319">
        <v>6</v>
      </c>
      <c r="F319">
        <v>39</v>
      </c>
      <c r="G319">
        <v>16</v>
      </c>
      <c r="H319">
        <v>1</v>
      </c>
      <c r="I319">
        <v>1</v>
      </c>
      <c r="J319">
        <v>13.039727210000001</v>
      </c>
      <c r="K319">
        <v>10.505486489999999</v>
      </c>
      <c r="N319">
        <v>0</v>
      </c>
      <c r="O319">
        <v>0</v>
      </c>
    </row>
    <row r="320" spans="1:15">
      <c r="A320">
        <v>1.2944990199999999</v>
      </c>
      <c r="B320">
        <v>1.249995652</v>
      </c>
      <c r="C320">
        <v>0.64724950999999997</v>
      </c>
      <c r="D320">
        <v>1.7988685929999999</v>
      </c>
      <c r="E320">
        <v>7</v>
      </c>
      <c r="F320">
        <v>47</v>
      </c>
      <c r="G320">
        <v>12</v>
      </c>
      <c r="H320">
        <v>1</v>
      </c>
      <c r="I320">
        <v>1</v>
      </c>
      <c r="J320">
        <v>59.386425019999997</v>
      </c>
      <c r="K320">
        <v>30.166994089999999</v>
      </c>
      <c r="L320">
        <v>30.166994089999999</v>
      </c>
      <c r="M320">
        <v>3.406748533</v>
      </c>
      <c r="N320">
        <v>1</v>
      </c>
      <c r="O320">
        <v>3.406748533</v>
      </c>
    </row>
    <row r="321" spans="1:15">
      <c r="A321">
        <v>0.94969855599999997</v>
      </c>
      <c r="B321">
        <v>0.62911017000000002</v>
      </c>
      <c r="C321">
        <v>0.47484927799999999</v>
      </c>
      <c r="D321">
        <v>1.1151215489999999</v>
      </c>
      <c r="E321">
        <v>8</v>
      </c>
      <c r="F321">
        <v>38</v>
      </c>
      <c r="G321">
        <v>12</v>
      </c>
      <c r="H321">
        <v>1</v>
      </c>
      <c r="I321">
        <v>1</v>
      </c>
      <c r="J321">
        <v>47.581459049999999</v>
      </c>
      <c r="K321">
        <v>26.298191070000001</v>
      </c>
      <c r="L321">
        <v>26.298191070000001</v>
      </c>
      <c r="M321">
        <v>3.2695002560000002</v>
      </c>
      <c r="N321">
        <v>1</v>
      </c>
      <c r="O321">
        <v>3.2695002560000002</v>
      </c>
    </row>
    <row r="322" spans="1:15">
      <c r="A322">
        <v>3.0060947000000001E-2</v>
      </c>
      <c r="B322">
        <v>-0.78368695600000005</v>
      </c>
      <c r="C322">
        <v>1.5030473000000001E-2</v>
      </c>
      <c r="D322">
        <v>-0.53572518300000005</v>
      </c>
      <c r="E322">
        <v>9</v>
      </c>
      <c r="F322">
        <v>39</v>
      </c>
      <c r="G322">
        <v>20</v>
      </c>
      <c r="H322">
        <v>1</v>
      </c>
      <c r="I322">
        <v>0</v>
      </c>
      <c r="J322">
        <v>29.171297070000001</v>
      </c>
      <c r="K322">
        <v>28.980365750000001</v>
      </c>
      <c r="N322">
        <v>0</v>
      </c>
      <c r="O322">
        <v>0</v>
      </c>
    </row>
    <row r="323" spans="1:15">
      <c r="A323">
        <v>1.184044189</v>
      </c>
      <c r="B323">
        <v>0.81462889500000002</v>
      </c>
      <c r="C323">
        <v>0.59202209500000003</v>
      </c>
      <c r="D323">
        <v>1.4118035550000001</v>
      </c>
      <c r="E323">
        <v>0</v>
      </c>
      <c r="F323">
        <v>24</v>
      </c>
      <c r="G323">
        <v>10</v>
      </c>
      <c r="H323">
        <v>0</v>
      </c>
      <c r="I323">
        <v>3</v>
      </c>
      <c r="J323">
        <v>49.041641239999997</v>
      </c>
      <c r="K323">
        <v>22.904264449999999</v>
      </c>
      <c r="L323">
        <v>22.904264449999999</v>
      </c>
      <c r="M323">
        <v>3.1313230989999998</v>
      </c>
      <c r="N323">
        <v>1</v>
      </c>
      <c r="O323">
        <v>3.1313230989999998</v>
      </c>
    </row>
    <row r="324" spans="1:15">
      <c r="A324">
        <v>-3.6891302000000001E-2</v>
      </c>
      <c r="B324">
        <v>-0.61570986500000002</v>
      </c>
      <c r="C324">
        <v>-1.8445651E-2</v>
      </c>
      <c r="D324">
        <v>-0.46346320099999999</v>
      </c>
      <c r="E324">
        <v>1</v>
      </c>
      <c r="F324">
        <v>33</v>
      </c>
      <c r="G324">
        <v>12</v>
      </c>
      <c r="H324">
        <v>0</v>
      </c>
      <c r="I324">
        <v>3</v>
      </c>
      <c r="J324">
        <v>31.638441090000001</v>
      </c>
      <c r="K324">
        <v>19.37865257</v>
      </c>
      <c r="L324">
        <v>19.37865257</v>
      </c>
      <c r="M324">
        <v>2.9641721250000002</v>
      </c>
      <c r="N324">
        <v>1</v>
      </c>
      <c r="O324">
        <v>2.9641721250000002</v>
      </c>
    </row>
    <row r="325" spans="1:15">
      <c r="A325">
        <v>-0.73088496000000003</v>
      </c>
      <c r="B325">
        <v>0.49630526000000003</v>
      </c>
      <c r="C325">
        <v>-0.36544248000000001</v>
      </c>
      <c r="D325">
        <v>-0.16149412299999999</v>
      </c>
      <c r="E325">
        <v>2</v>
      </c>
      <c r="F325">
        <v>32</v>
      </c>
      <c r="G325">
        <v>10</v>
      </c>
      <c r="H325">
        <v>1</v>
      </c>
      <c r="I325">
        <v>0</v>
      </c>
      <c r="J325">
        <v>23.362070079999999</v>
      </c>
      <c r="K325">
        <v>13.014690399999999</v>
      </c>
      <c r="N325">
        <v>0</v>
      </c>
      <c r="O325">
        <v>0</v>
      </c>
    </row>
    <row r="326" spans="1:15">
      <c r="A326">
        <v>-0.285540352</v>
      </c>
      <c r="B326">
        <v>-0.22393996199999999</v>
      </c>
      <c r="C326">
        <v>-0.142770176</v>
      </c>
      <c r="D326">
        <v>-0.35999753299999998</v>
      </c>
      <c r="E326">
        <v>3</v>
      </c>
      <c r="F326">
        <v>26</v>
      </c>
      <c r="G326">
        <v>10</v>
      </c>
      <c r="H326">
        <v>0</v>
      </c>
      <c r="I326">
        <v>4</v>
      </c>
      <c r="J326">
        <v>33.58002853</v>
      </c>
      <c r="K326">
        <v>14.48675823</v>
      </c>
      <c r="L326">
        <v>14.48675823</v>
      </c>
      <c r="M326">
        <v>2.6732349399999999</v>
      </c>
      <c r="N326">
        <v>1</v>
      </c>
      <c r="O326">
        <v>2.6732349399999999</v>
      </c>
    </row>
    <row r="327" spans="1:15">
      <c r="A327">
        <v>-0.34034769500000001</v>
      </c>
      <c r="B327">
        <v>0.63554985100000005</v>
      </c>
      <c r="C327">
        <v>-0.17017384799999999</v>
      </c>
      <c r="D327">
        <v>0.21218319299999999</v>
      </c>
      <c r="E327">
        <v>4</v>
      </c>
      <c r="F327">
        <v>37</v>
      </c>
      <c r="G327">
        <v>12</v>
      </c>
      <c r="H327">
        <v>0</v>
      </c>
      <c r="I327">
        <v>1</v>
      </c>
      <c r="J327">
        <v>31.346199039999998</v>
      </c>
      <c r="K327">
        <v>18.357913969999998</v>
      </c>
      <c r="L327">
        <v>18.357913969999998</v>
      </c>
      <c r="M327">
        <v>2.9100606440000001</v>
      </c>
      <c r="N327">
        <v>1</v>
      </c>
      <c r="O327">
        <v>2.9100606440000001</v>
      </c>
    </row>
    <row r="328" spans="1:15">
      <c r="A328">
        <v>1.8055050130000001</v>
      </c>
      <c r="B328">
        <v>0.14088926600000001</v>
      </c>
      <c r="C328">
        <v>0.90275250699999998</v>
      </c>
      <c r="D328">
        <v>1.3702393049999999</v>
      </c>
      <c r="E328">
        <v>5</v>
      </c>
      <c r="F328">
        <v>34</v>
      </c>
      <c r="G328">
        <v>10</v>
      </c>
      <c r="H328">
        <v>0</v>
      </c>
      <c r="I328">
        <v>3</v>
      </c>
      <c r="J328">
        <v>52.542873380000003</v>
      </c>
      <c r="K328">
        <v>28.63302994</v>
      </c>
      <c r="L328">
        <v>28.63302994</v>
      </c>
      <c r="M328">
        <v>3.3545608520000001</v>
      </c>
      <c r="N328">
        <v>1</v>
      </c>
      <c r="O328">
        <v>3.3545608520000001</v>
      </c>
    </row>
    <row r="329" spans="1:15">
      <c r="A329">
        <v>-0.71517168399999997</v>
      </c>
      <c r="B329">
        <v>-0.22252465099999999</v>
      </c>
      <c r="C329">
        <v>-0.35758584199999999</v>
      </c>
      <c r="D329">
        <v>-0.66122640200000005</v>
      </c>
      <c r="E329">
        <v>6</v>
      </c>
      <c r="F329">
        <v>32</v>
      </c>
      <c r="G329">
        <v>16</v>
      </c>
      <c r="H329">
        <v>1</v>
      </c>
      <c r="I329">
        <v>1</v>
      </c>
      <c r="J329">
        <v>26.86528397</v>
      </c>
      <c r="K329">
        <v>19.108970639999999</v>
      </c>
      <c r="N329">
        <v>0</v>
      </c>
      <c r="O329">
        <v>0</v>
      </c>
    </row>
    <row r="330" spans="1:15">
      <c r="A330">
        <v>0.40465595300000001</v>
      </c>
      <c r="B330">
        <v>2.0445463000000001E-2</v>
      </c>
      <c r="C330">
        <v>0.20232797699999999</v>
      </c>
      <c r="D330">
        <v>0.29919316400000001</v>
      </c>
      <c r="E330">
        <v>7</v>
      </c>
      <c r="F330">
        <v>40</v>
      </c>
      <c r="G330">
        <v>12</v>
      </c>
      <c r="H330">
        <v>1</v>
      </c>
      <c r="I330">
        <v>0</v>
      </c>
      <c r="J330">
        <v>33.590316770000001</v>
      </c>
      <c r="K330">
        <v>23.427936549999998</v>
      </c>
      <c r="L330">
        <v>23.427936549999998</v>
      </c>
      <c r="M330">
        <v>3.153929234</v>
      </c>
      <c r="N330">
        <v>1</v>
      </c>
      <c r="O330">
        <v>3.153929234</v>
      </c>
    </row>
    <row r="331" spans="1:15">
      <c r="A331">
        <v>-1.004717117</v>
      </c>
      <c r="B331">
        <v>0.32361499500000002</v>
      </c>
      <c r="C331">
        <v>-0.50235855900000004</v>
      </c>
      <c r="D331">
        <v>-0.476838233</v>
      </c>
      <c r="E331">
        <v>8</v>
      </c>
      <c r="F331">
        <v>50</v>
      </c>
      <c r="G331">
        <v>16</v>
      </c>
      <c r="H331">
        <v>1</v>
      </c>
      <c r="I331">
        <v>5</v>
      </c>
      <c r="J331">
        <v>56.277942660000001</v>
      </c>
      <c r="K331">
        <v>20.971696850000001</v>
      </c>
      <c r="L331">
        <v>20.971696850000001</v>
      </c>
      <c r="M331">
        <v>3.04317379</v>
      </c>
      <c r="N331">
        <v>1</v>
      </c>
      <c r="O331">
        <v>3.04317379</v>
      </c>
    </row>
    <row r="332" spans="1:15">
      <c r="A332">
        <v>-0.19657425000000001</v>
      </c>
      <c r="B332">
        <v>-7.8881284999999995E-2</v>
      </c>
      <c r="C332">
        <v>-9.8287125000000003E-2</v>
      </c>
      <c r="D332">
        <v>-0.194336379</v>
      </c>
      <c r="E332">
        <v>9</v>
      </c>
      <c r="F332">
        <v>42</v>
      </c>
      <c r="G332">
        <v>12</v>
      </c>
      <c r="H332">
        <v>1</v>
      </c>
      <c r="I332">
        <v>1</v>
      </c>
      <c r="J332">
        <v>33.467964170000002</v>
      </c>
      <c r="K332">
        <v>20.22055435</v>
      </c>
      <c r="L332">
        <v>20.22055435</v>
      </c>
      <c r="M332">
        <v>3.0066995620000001</v>
      </c>
      <c r="N332">
        <v>1</v>
      </c>
      <c r="O332">
        <v>3.0066995620000001</v>
      </c>
    </row>
    <row r="333" spans="1:15">
      <c r="A333">
        <v>-1.1001758749999999</v>
      </c>
      <c r="B333">
        <v>-0.28565862600000003</v>
      </c>
      <c r="C333">
        <v>-0.550087938</v>
      </c>
      <c r="D333">
        <v>-0.97692866099999998</v>
      </c>
      <c r="E333">
        <v>0</v>
      </c>
      <c r="F333">
        <v>47</v>
      </c>
      <c r="G333">
        <v>10</v>
      </c>
      <c r="H333">
        <v>0</v>
      </c>
      <c r="I333">
        <v>0</v>
      </c>
      <c r="J333">
        <v>14.57685566</v>
      </c>
      <c r="K333">
        <v>13.79894447</v>
      </c>
      <c r="N333">
        <v>0</v>
      </c>
      <c r="O333">
        <v>0</v>
      </c>
    </row>
    <row r="334" spans="1:15">
      <c r="A334">
        <v>-0.66824262000000001</v>
      </c>
      <c r="B334">
        <v>-0.26676662499999998</v>
      </c>
      <c r="C334">
        <v>-0.33412131</v>
      </c>
      <c r="D334">
        <v>-0.65965047799999998</v>
      </c>
      <c r="E334">
        <v>1</v>
      </c>
      <c r="F334">
        <v>28</v>
      </c>
      <c r="G334">
        <v>10</v>
      </c>
      <c r="H334">
        <v>0</v>
      </c>
      <c r="I334">
        <v>3</v>
      </c>
      <c r="J334">
        <v>25.78419495</v>
      </c>
      <c r="K334">
        <v>12.590544700000001</v>
      </c>
      <c r="N334">
        <v>0</v>
      </c>
      <c r="O334">
        <v>0</v>
      </c>
    </row>
    <row r="335" spans="1:15">
      <c r="A335">
        <v>1.129914278</v>
      </c>
      <c r="B335">
        <v>-0.35686235700000002</v>
      </c>
      <c r="C335">
        <v>0.564957139</v>
      </c>
      <c r="D335">
        <v>0.54128629500000003</v>
      </c>
      <c r="E335">
        <v>2</v>
      </c>
      <c r="F335">
        <v>46</v>
      </c>
      <c r="G335">
        <v>10</v>
      </c>
      <c r="H335">
        <v>1</v>
      </c>
      <c r="I335">
        <v>3</v>
      </c>
      <c r="J335">
        <v>52.395435329999998</v>
      </c>
      <c r="K335">
        <v>26.979486470000001</v>
      </c>
      <c r="L335">
        <v>26.979486470000001</v>
      </c>
      <c r="M335">
        <v>3.2950768469999998</v>
      </c>
      <c r="N335">
        <v>1</v>
      </c>
      <c r="O335">
        <v>3.2950768469999998</v>
      </c>
    </row>
    <row r="336" spans="1:15">
      <c r="A336">
        <v>-0.468329579</v>
      </c>
      <c r="B336">
        <v>-1.1476766860000001</v>
      </c>
      <c r="C336">
        <v>-0.23416478900000001</v>
      </c>
      <c r="D336">
        <v>-1.144973888</v>
      </c>
      <c r="E336">
        <v>3</v>
      </c>
      <c r="F336">
        <v>34</v>
      </c>
      <c r="G336">
        <v>10</v>
      </c>
      <c r="H336">
        <v>0</v>
      </c>
      <c r="I336">
        <v>3</v>
      </c>
      <c r="J336">
        <v>22.360313420000001</v>
      </c>
      <c r="K336">
        <v>14.990022659999999</v>
      </c>
      <c r="N336">
        <v>0</v>
      </c>
      <c r="O336">
        <v>0</v>
      </c>
    </row>
    <row r="337" spans="1:15">
      <c r="A337">
        <v>-0.55012657899999995</v>
      </c>
      <c r="B337">
        <v>3.6766305999999999E-2</v>
      </c>
      <c r="C337">
        <v>-0.27506328899999999</v>
      </c>
      <c r="D337">
        <v>-0.36087445699999998</v>
      </c>
      <c r="E337">
        <v>4</v>
      </c>
      <c r="F337">
        <v>36</v>
      </c>
      <c r="G337">
        <v>12</v>
      </c>
      <c r="H337">
        <v>1</v>
      </c>
      <c r="I337">
        <v>1</v>
      </c>
      <c r="J337">
        <v>29.06950569</v>
      </c>
      <c r="K337">
        <v>16.89924049</v>
      </c>
      <c r="N337">
        <v>0</v>
      </c>
      <c r="O337">
        <v>0</v>
      </c>
    </row>
    <row r="338" spans="1:15">
      <c r="A338">
        <v>-0.58741142700000004</v>
      </c>
      <c r="B338">
        <v>-9.2528443000000002E-2</v>
      </c>
      <c r="C338">
        <v>-0.29370571400000001</v>
      </c>
      <c r="D338">
        <v>-0.47897764999999998</v>
      </c>
      <c r="E338">
        <v>5</v>
      </c>
      <c r="F338">
        <v>34</v>
      </c>
      <c r="G338">
        <v>10</v>
      </c>
      <c r="H338">
        <v>1</v>
      </c>
      <c r="I338">
        <v>1</v>
      </c>
      <c r="J338">
        <v>25.352268219999999</v>
      </c>
      <c r="K338">
        <v>14.275531770000001</v>
      </c>
      <c r="N338">
        <v>0</v>
      </c>
      <c r="O338">
        <v>0</v>
      </c>
    </row>
    <row r="339" spans="1:15">
      <c r="A339">
        <v>-0.49409335500000001</v>
      </c>
      <c r="B339">
        <v>-0.24550973300000001</v>
      </c>
      <c r="C339">
        <v>-0.24704667799999999</v>
      </c>
      <c r="D339">
        <v>-0.52203624000000004</v>
      </c>
      <c r="E339">
        <v>6</v>
      </c>
      <c r="F339">
        <v>35</v>
      </c>
      <c r="G339">
        <v>10</v>
      </c>
      <c r="H339">
        <v>1</v>
      </c>
      <c r="I339">
        <v>1</v>
      </c>
      <c r="J339">
        <v>25.235565189999999</v>
      </c>
      <c r="K339">
        <v>15.03543949</v>
      </c>
      <c r="N339">
        <v>0</v>
      </c>
      <c r="O339">
        <v>0</v>
      </c>
    </row>
    <row r="340" spans="1:15">
      <c r="A340">
        <v>-3.5005141260000001</v>
      </c>
      <c r="B340">
        <v>0.62596744999999998</v>
      </c>
      <c r="C340">
        <v>-1.7502570630000001</v>
      </c>
      <c r="D340">
        <v>-2.0177214459999999</v>
      </c>
      <c r="E340">
        <v>7</v>
      </c>
      <c r="F340">
        <v>45</v>
      </c>
      <c r="G340">
        <v>16</v>
      </c>
      <c r="H340">
        <v>1</v>
      </c>
      <c r="I340">
        <v>1</v>
      </c>
      <c r="J340">
        <v>15.787343030000001</v>
      </c>
      <c r="K340">
        <v>4.9969153400000001</v>
      </c>
      <c r="N340">
        <v>0</v>
      </c>
      <c r="O340">
        <v>0</v>
      </c>
    </row>
    <row r="341" spans="1:15">
      <c r="A341">
        <v>1.322722199</v>
      </c>
      <c r="B341">
        <v>-0.573878043</v>
      </c>
      <c r="C341">
        <v>0.66136109899999995</v>
      </c>
      <c r="D341">
        <v>0.52271468700000001</v>
      </c>
      <c r="E341">
        <v>8</v>
      </c>
      <c r="F341">
        <v>48</v>
      </c>
      <c r="G341">
        <v>12</v>
      </c>
      <c r="H341">
        <v>1</v>
      </c>
      <c r="I341">
        <v>4</v>
      </c>
      <c r="J341">
        <v>59.472576140000001</v>
      </c>
      <c r="K341">
        <v>30.536333079999999</v>
      </c>
      <c r="L341">
        <v>30.536333079999999</v>
      </c>
      <c r="M341">
        <v>3.4189171790000001</v>
      </c>
      <c r="N341">
        <v>1</v>
      </c>
      <c r="O341">
        <v>3.4189171790000001</v>
      </c>
    </row>
    <row r="342" spans="1:15">
      <c r="A342">
        <v>0.70501605599999995</v>
      </c>
      <c r="B342">
        <v>1.4611993910000001</v>
      </c>
      <c r="C342">
        <v>0.35250802799999997</v>
      </c>
      <c r="D342">
        <v>1.534259687</v>
      </c>
      <c r="E342">
        <v>9</v>
      </c>
      <c r="F342">
        <v>47</v>
      </c>
      <c r="G342">
        <v>16</v>
      </c>
      <c r="H342">
        <v>1</v>
      </c>
      <c r="I342">
        <v>1</v>
      </c>
      <c r="J342">
        <v>59.211116789999998</v>
      </c>
      <c r="K342">
        <v>30.630096439999999</v>
      </c>
      <c r="L342">
        <v>30.630096439999999</v>
      </c>
      <c r="M342">
        <v>3.4219830039999999</v>
      </c>
      <c r="N342">
        <v>1</v>
      </c>
      <c r="O342">
        <v>3.4219830039999999</v>
      </c>
    </row>
    <row r="343" spans="1:15">
      <c r="A343">
        <v>1.3373582959999999</v>
      </c>
      <c r="B343">
        <v>-0.32785473300000001</v>
      </c>
      <c r="C343">
        <v>0.66867914799999995</v>
      </c>
      <c r="D343">
        <v>0.70783004900000002</v>
      </c>
      <c r="E343">
        <v>0</v>
      </c>
      <c r="F343">
        <v>22</v>
      </c>
      <c r="G343">
        <v>10</v>
      </c>
      <c r="H343">
        <v>0</v>
      </c>
      <c r="I343">
        <v>3</v>
      </c>
      <c r="J343">
        <v>39.793960570000003</v>
      </c>
      <c r="K343">
        <v>23.424150470000001</v>
      </c>
      <c r="L343">
        <v>23.424150470000001</v>
      </c>
      <c r="M343">
        <v>3.1537675859999998</v>
      </c>
      <c r="N343">
        <v>1</v>
      </c>
      <c r="O343">
        <v>3.1537675859999998</v>
      </c>
    </row>
    <row r="344" spans="1:15">
      <c r="A344">
        <v>0.23465243599999999</v>
      </c>
      <c r="B344">
        <v>0.18774391800000001</v>
      </c>
      <c r="C344">
        <v>0.117326218</v>
      </c>
      <c r="D344">
        <v>0.29847901100000002</v>
      </c>
      <c r="E344">
        <v>1</v>
      </c>
      <c r="F344">
        <v>39</v>
      </c>
      <c r="G344">
        <v>10</v>
      </c>
      <c r="H344">
        <v>0</v>
      </c>
      <c r="I344">
        <v>2</v>
      </c>
      <c r="J344">
        <v>36.681747440000002</v>
      </c>
      <c r="K344">
        <v>20.207914349999999</v>
      </c>
      <c r="L344">
        <v>20.207914349999999</v>
      </c>
      <c r="M344">
        <v>3.0060744289999999</v>
      </c>
      <c r="N344">
        <v>1</v>
      </c>
      <c r="O344">
        <v>3.0060744289999999</v>
      </c>
    </row>
    <row r="345" spans="1:15">
      <c r="A345">
        <v>-0.152710121</v>
      </c>
      <c r="B345">
        <v>2.5189821339999998</v>
      </c>
      <c r="C345">
        <v>-7.6355060000000002E-2</v>
      </c>
      <c r="D345">
        <v>1.682510714</v>
      </c>
      <c r="E345">
        <v>2</v>
      </c>
      <c r="F345">
        <v>29</v>
      </c>
      <c r="G345">
        <v>10</v>
      </c>
      <c r="H345">
        <v>1</v>
      </c>
      <c r="I345">
        <v>0</v>
      </c>
      <c r="J345">
        <v>44.290126800000003</v>
      </c>
      <c r="K345">
        <v>15.88373947</v>
      </c>
      <c r="L345">
        <v>15.88373947</v>
      </c>
      <c r="M345">
        <v>2.765295982</v>
      </c>
      <c r="N345">
        <v>1</v>
      </c>
      <c r="O345">
        <v>2.765295982</v>
      </c>
    </row>
    <row r="346" spans="1:15">
      <c r="A346">
        <v>-0.80926514800000005</v>
      </c>
      <c r="B346">
        <v>-1.7506433450000001</v>
      </c>
      <c r="C346">
        <v>-0.40463257400000002</v>
      </c>
      <c r="D346">
        <v>-1.8132693209999999</v>
      </c>
      <c r="E346">
        <v>3</v>
      </c>
      <c r="F346">
        <v>26</v>
      </c>
      <c r="G346">
        <v>16</v>
      </c>
      <c r="H346">
        <v>1</v>
      </c>
      <c r="I346">
        <v>3</v>
      </c>
      <c r="J346">
        <v>20.640768049999998</v>
      </c>
      <c r="K346">
        <v>17.344409939999998</v>
      </c>
      <c r="N346">
        <v>0</v>
      </c>
      <c r="O346">
        <v>0</v>
      </c>
    </row>
    <row r="347" spans="1:15">
      <c r="A347">
        <v>0.58520391199999999</v>
      </c>
      <c r="B347">
        <v>-2.1181398000000001E-2</v>
      </c>
      <c r="C347">
        <v>0.292601956</v>
      </c>
      <c r="D347">
        <v>0.39662478000000001</v>
      </c>
      <c r="E347">
        <v>4</v>
      </c>
      <c r="F347">
        <v>35</v>
      </c>
      <c r="G347">
        <v>12</v>
      </c>
      <c r="H347">
        <v>1</v>
      </c>
      <c r="I347">
        <v>0</v>
      </c>
      <c r="J347">
        <v>32.759498600000001</v>
      </c>
      <c r="K347">
        <v>23.511222839999999</v>
      </c>
      <c r="L347">
        <v>23.511222839999999</v>
      </c>
      <c r="M347">
        <v>3.1574778559999999</v>
      </c>
      <c r="N347">
        <v>1</v>
      </c>
      <c r="O347">
        <v>3.1574778559999999</v>
      </c>
    </row>
    <row r="348" spans="1:15">
      <c r="A348">
        <v>-0.35051190199999999</v>
      </c>
      <c r="B348">
        <v>1.432019232</v>
      </c>
      <c r="C348">
        <v>-0.17525595099999999</v>
      </c>
      <c r="D348">
        <v>0.77098815499999995</v>
      </c>
      <c r="E348">
        <v>5</v>
      </c>
      <c r="F348">
        <v>40</v>
      </c>
      <c r="G348">
        <v>16</v>
      </c>
      <c r="H348">
        <v>0</v>
      </c>
      <c r="I348">
        <v>1</v>
      </c>
      <c r="J348">
        <v>42.25185776</v>
      </c>
      <c r="K348">
        <v>22.89692879</v>
      </c>
      <c r="L348">
        <v>22.89692879</v>
      </c>
      <c r="M348">
        <v>3.1310029030000002</v>
      </c>
      <c r="N348">
        <v>1</v>
      </c>
      <c r="O348">
        <v>3.1310029030000002</v>
      </c>
    </row>
    <row r="349" spans="1:15">
      <c r="A349">
        <v>-1.2802448259999999</v>
      </c>
      <c r="B349">
        <v>-0.89384847899999997</v>
      </c>
      <c r="C349">
        <v>-0.64012241299999995</v>
      </c>
      <c r="D349">
        <v>-1.535770074</v>
      </c>
      <c r="E349">
        <v>6</v>
      </c>
      <c r="F349">
        <v>32</v>
      </c>
      <c r="G349">
        <v>12</v>
      </c>
      <c r="H349">
        <v>1</v>
      </c>
      <c r="I349">
        <v>2</v>
      </c>
      <c r="J349">
        <v>18.370759960000001</v>
      </c>
      <c r="K349">
        <v>11.71853065</v>
      </c>
      <c r="N349">
        <v>0</v>
      </c>
      <c r="O349">
        <v>0</v>
      </c>
    </row>
    <row r="350" spans="1:15">
      <c r="A350">
        <v>1.7718665499999999</v>
      </c>
      <c r="B350">
        <v>-5.8215562999999998E-2</v>
      </c>
      <c r="C350">
        <v>0.88593327499999996</v>
      </c>
      <c r="D350">
        <v>1.2050956020000001</v>
      </c>
      <c r="E350">
        <v>7</v>
      </c>
      <c r="F350">
        <v>37</v>
      </c>
      <c r="G350">
        <v>16</v>
      </c>
      <c r="H350">
        <v>1</v>
      </c>
      <c r="I350">
        <v>1</v>
      </c>
      <c r="J350">
        <v>51.261146549999999</v>
      </c>
      <c r="K350">
        <v>35.031200409999997</v>
      </c>
      <c r="L350">
        <v>35.031200409999997</v>
      </c>
      <c r="M350">
        <v>3.5562391280000001</v>
      </c>
      <c r="N350">
        <v>1</v>
      </c>
      <c r="O350">
        <v>3.5562391280000001</v>
      </c>
    </row>
    <row r="351" spans="1:15">
      <c r="A351">
        <v>1.2973955989999999</v>
      </c>
      <c r="B351">
        <v>0.24911286699999999</v>
      </c>
      <c r="C351">
        <v>0.64869779900000002</v>
      </c>
      <c r="D351">
        <v>1.0896989640000001</v>
      </c>
      <c r="E351">
        <v>8</v>
      </c>
      <c r="F351">
        <v>36</v>
      </c>
      <c r="G351">
        <v>10</v>
      </c>
      <c r="H351">
        <v>1</v>
      </c>
      <c r="I351">
        <v>0</v>
      </c>
      <c r="J351">
        <v>39.976387019999997</v>
      </c>
      <c r="K351">
        <v>25.984373089999998</v>
      </c>
      <c r="L351">
        <v>25.984373089999998</v>
      </c>
      <c r="M351">
        <v>3.2574954030000001</v>
      </c>
      <c r="N351">
        <v>1</v>
      </c>
      <c r="O351">
        <v>3.2574954030000001</v>
      </c>
    </row>
    <row r="352" spans="1:15">
      <c r="A352">
        <v>-1.7062285450000001</v>
      </c>
      <c r="B352">
        <v>0.66275889099999996</v>
      </c>
      <c r="C352">
        <v>-0.85311427299999998</v>
      </c>
      <c r="D352">
        <v>-0.729344557</v>
      </c>
      <c r="E352">
        <v>9</v>
      </c>
      <c r="F352">
        <v>41</v>
      </c>
      <c r="G352">
        <v>16</v>
      </c>
      <c r="H352">
        <v>1</v>
      </c>
      <c r="I352">
        <v>4</v>
      </c>
      <c r="J352">
        <v>44.647865299999999</v>
      </c>
      <c r="K352">
        <v>14.96262836</v>
      </c>
      <c r="L352">
        <v>14.96262836</v>
      </c>
      <c r="M352">
        <v>2.705555677</v>
      </c>
      <c r="N352">
        <v>1</v>
      </c>
      <c r="O352">
        <v>2.705555677</v>
      </c>
    </row>
    <row r="353" spans="1:15">
      <c r="A353">
        <v>0.37303224299999999</v>
      </c>
      <c r="B353">
        <v>1.354429412</v>
      </c>
      <c r="C353">
        <v>0.18651612200000001</v>
      </c>
      <c r="D353">
        <v>1.2248490240000001</v>
      </c>
      <c r="E353">
        <v>0</v>
      </c>
      <c r="F353">
        <v>36</v>
      </c>
      <c r="G353">
        <v>10</v>
      </c>
      <c r="H353">
        <v>0</v>
      </c>
      <c r="I353">
        <v>3</v>
      </c>
      <c r="J353">
        <v>51.598186490000003</v>
      </c>
      <c r="K353">
        <v>20.43819427</v>
      </c>
      <c r="L353">
        <v>20.43819427</v>
      </c>
      <c r="M353">
        <v>3.0174055100000001</v>
      </c>
      <c r="N353">
        <v>1</v>
      </c>
      <c r="O353">
        <v>3.0174055100000001</v>
      </c>
    </row>
    <row r="354" spans="1:15">
      <c r="A354">
        <v>-0.17142262</v>
      </c>
      <c r="B354">
        <v>-0.809880771</v>
      </c>
      <c r="C354">
        <v>-8.5711309999999999E-2</v>
      </c>
      <c r="D354">
        <v>-0.69607647699999997</v>
      </c>
      <c r="E354">
        <v>1</v>
      </c>
      <c r="F354">
        <v>28</v>
      </c>
      <c r="G354">
        <v>12</v>
      </c>
      <c r="H354">
        <v>0</v>
      </c>
      <c r="I354">
        <v>2</v>
      </c>
      <c r="J354">
        <v>21.847082140000001</v>
      </c>
      <c r="K354">
        <v>17.571464540000001</v>
      </c>
      <c r="N354">
        <v>0</v>
      </c>
      <c r="O354">
        <v>0</v>
      </c>
    </row>
    <row r="355" spans="1:15">
      <c r="A355">
        <v>-7.5591628999999994E-2</v>
      </c>
      <c r="B355">
        <v>-2.7109055670000002</v>
      </c>
      <c r="C355">
        <v>-3.7795813999999997E-2</v>
      </c>
      <c r="D355">
        <v>-1.9794920600000001</v>
      </c>
      <c r="E355">
        <v>2</v>
      </c>
      <c r="F355">
        <v>34</v>
      </c>
      <c r="G355">
        <v>10</v>
      </c>
      <c r="H355">
        <v>0</v>
      </c>
      <c r="I355">
        <v>3</v>
      </c>
      <c r="J355">
        <v>12.34609509</v>
      </c>
      <c r="K355">
        <v>17.34645081</v>
      </c>
      <c r="N355">
        <v>0</v>
      </c>
      <c r="O355">
        <v>0</v>
      </c>
    </row>
    <row r="356" spans="1:15">
      <c r="A356">
        <v>9.0303771000000005E-2</v>
      </c>
      <c r="B356">
        <v>-1.3988336699999999</v>
      </c>
      <c r="C356">
        <v>4.5151885000000003E-2</v>
      </c>
      <c r="D356">
        <v>-0.93045686699999997</v>
      </c>
      <c r="E356">
        <v>3</v>
      </c>
      <c r="F356">
        <v>26</v>
      </c>
      <c r="G356">
        <v>16</v>
      </c>
      <c r="H356">
        <v>0</v>
      </c>
      <c r="I356">
        <v>2</v>
      </c>
      <c r="J356">
        <v>21.234518049999998</v>
      </c>
      <c r="K356">
        <v>22.741823199999999</v>
      </c>
      <c r="N356">
        <v>0</v>
      </c>
      <c r="O356">
        <v>0</v>
      </c>
    </row>
    <row r="357" spans="1:15">
      <c r="A357">
        <v>0.65000630699999995</v>
      </c>
      <c r="B357">
        <v>-0.30872711800000002</v>
      </c>
      <c r="C357">
        <v>0.32500315400000002</v>
      </c>
      <c r="D357">
        <v>0.237887354</v>
      </c>
      <c r="E357">
        <v>4</v>
      </c>
      <c r="F357">
        <v>32</v>
      </c>
      <c r="G357">
        <v>10</v>
      </c>
      <c r="H357">
        <v>0</v>
      </c>
      <c r="I357">
        <v>4</v>
      </c>
      <c r="J357">
        <v>43.154647830000002</v>
      </c>
      <c r="K357">
        <v>21.300037379999999</v>
      </c>
      <c r="L357">
        <v>21.300037379999999</v>
      </c>
      <c r="M357">
        <v>3.0587089060000001</v>
      </c>
      <c r="N357">
        <v>1</v>
      </c>
      <c r="O357">
        <v>3.0587089060000001</v>
      </c>
    </row>
    <row r="358" spans="1:15">
      <c r="A358">
        <v>0.56767912700000001</v>
      </c>
      <c r="B358">
        <v>-0.68864425299999998</v>
      </c>
      <c r="C358">
        <v>0.28383956399999999</v>
      </c>
      <c r="D358">
        <v>-8.9989213999999998E-2</v>
      </c>
      <c r="E358">
        <v>5</v>
      </c>
      <c r="F358">
        <v>32</v>
      </c>
      <c r="G358">
        <v>16</v>
      </c>
      <c r="H358">
        <v>1</v>
      </c>
      <c r="I358">
        <v>4</v>
      </c>
      <c r="J358">
        <v>48.720130920000003</v>
      </c>
      <c r="K358">
        <v>26.80607414</v>
      </c>
      <c r="L358">
        <v>26.80607414</v>
      </c>
      <c r="M358">
        <v>3.288628578</v>
      </c>
      <c r="N358">
        <v>1</v>
      </c>
      <c r="O358">
        <v>3.288628578</v>
      </c>
    </row>
    <row r="359" spans="1:15">
      <c r="A359">
        <v>1.102149713</v>
      </c>
      <c r="B359">
        <v>0.19174667000000001</v>
      </c>
      <c r="C359">
        <v>0.55107485700000003</v>
      </c>
      <c r="D359">
        <v>0.91158524699999999</v>
      </c>
      <c r="E359">
        <v>6</v>
      </c>
      <c r="F359">
        <v>32</v>
      </c>
      <c r="G359">
        <v>12</v>
      </c>
      <c r="H359">
        <v>1</v>
      </c>
      <c r="I359">
        <v>0</v>
      </c>
      <c r="J359">
        <v>37.739021299999997</v>
      </c>
      <c r="K359">
        <v>26.01289749</v>
      </c>
      <c r="L359">
        <v>26.01289749</v>
      </c>
      <c r="M359">
        <v>3.2585923669999999</v>
      </c>
      <c r="N359">
        <v>1</v>
      </c>
      <c r="O359">
        <v>3.2585923669999999</v>
      </c>
    </row>
    <row r="360" spans="1:15">
      <c r="A360">
        <v>2.429309559</v>
      </c>
      <c r="B360">
        <v>-7.7193299999999999E-3</v>
      </c>
      <c r="C360">
        <v>1.21465478</v>
      </c>
      <c r="D360">
        <v>1.703471417</v>
      </c>
      <c r="E360">
        <v>7</v>
      </c>
      <c r="F360">
        <v>54</v>
      </c>
      <c r="G360">
        <v>16</v>
      </c>
      <c r="H360">
        <v>1</v>
      </c>
      <c r="I360">
        <v>4</v>
      </c>
      <c r="J360">
        <v>79.041656489999994</v>
      </c>
      <c r="K360">
        <v>42.375858309999998</v>
      </c>
      <c r="L360">
        <v>42.375858309999998</v>
      </c>
      <c r="M360">
        <v>3.7465789319999998</v>
      </c>
      <c r="N360">
        <v>1</v>
      </c>
      <c r="O360">
        <v>3.7465789319999998</v>
      </c>
    </row>
    <row r="361" spans="1:15">
      <c r="A361">
        <v>-0.67814591000000002</v>
      </c>
      <c r="B361">
        <v>-0.26502305199999998</v>
      </c>
      <c r="C361">
        <v>-0.33907295500000001</v>
      </c>
      <c r="D361">
        <v>-0.66537823900000004</v>
      </c>
      <c r="E361">
        <v>8</v>
      </c>
      <c r="F361">
        <v>37</v>
      </c>
      <c r="G361">
        <v>10</v>
      </c>
      <c r="H361">
        <v>1</v>
      </c>
      <c r="I361">
        <v>1</v>
      </c>
      <c r="J361">
        <v>24.315460210000001</v>
      </c>
      <c r="K361">
        <v>14.33112431</v>
      </c>
      <c r="N361">
        <v>0</v>
      </c>
      <c r="O361">
        <v>0</v>
      </c>
    </row>
    <row r="362" spans="1:15">
      <c r="A362">
        <v>2.5113705259999999</v>
      </c>
      <c r="B362">
        <v>0.23051417299999999</v>
      </c>
      <c r="C362">
        <v>1.2556852629999999</v>
      </c>
      <c r="D362">
        <v>1.930483154</v>
      </c>
      <c r="E362">
        <v>9</v>
      </c>
      <c r="F362">
        <v>49</v>
      </c>
      <c r="G362">
        <v>16</v>
      </c>
      <c r="H362">
        <v>1</v>
      </c>
      <c r="I362">
        <v>1</v>
      </c>
      <c r="J362">
        <v>64.765800479999996</v>
      </c>
      <c r="K362">
        <v>41.86822128</v>
      </c>
      <c r="L362">
        <v>41.86822128</v>
      </c>
      <c r="M362">
        <v>3.7345271109999998</v>
      </c>
      <c r="N362">
        <v>1</v>
      </c>
      <c r="O362">
        <v>3.7345271109999998</v>
      </c>
    </row>
    <row r="363" spans="1:15">
      <c r="A363">
        <v>-0.59024940999999997</v>
      </c>
      <c r="B363">
        <v>-1.5314510000000001E-3</v>
      </c>
      <c r="C363">
        <v>-0.29512470499999999</v>
      </c>
      <c r="D363">
        <v>-0.416313455</v>
      </c>
      <c r="E363">
        <v>0</v>
      </c>
      <c r="F363">
        <v>32</v>
      </c>
      <c r="G363">
        <v>12</v>
      </c>
      <c r="H363">
        <v>0</v>
      </c>
      <c r="I363">
        <v>2</v>
      </c>
      <c r="J363">
        <v>26.80423927</v>
      </c>
      <c r="K363">
        <v>15.85850334</v>
      </c>
      <c r="N363">
        <v>0</v>
      </c>
      <c r="O363">
        <v>0</v>
      </c>
    </row>
    <row r="364" spans="1:15">
      <c r="A364">
        <v>0.27780442700000002</v>
      </c>
      <c r="B364">
        <v>0.60441818400000002</v>
      </c>
      <c r="C364">
        <v>0.138902214</v>
      </c>
      <c r="D364">
        <v>0.62491572799999995</v>
      </c>
      <c r="E364">
        <v>1</v>
      </c>
      <c r="F364">
        <v>22</v>
      </c>
      <c r="G364">
        <v>10</v>
      </c>
      <c r="H364">
        <v>1</v>
      </c>
      <c r="I364">
        <v>4</v>
      </c>
      <c r="J364">
        <v>48.798988340000001</v>
      </c>
      <c r="K364">
        <v>17.066825869999999</v>
      </c>
      <c r="L364">
        <v>17.066825869999999</v>
      </c>
      <c r="M364">
        <v>2.8371365069999999</v>
      </c>
      <c r="N364">
        <v>1</v>
      </c>
      <c r="O364">
        <v>2.8371365069999999</v>
      </c>
    </row>
    <row r="365" spans="1:15">
      <c r="A365">
        <v>0.31696017300000001</v>
      </c>
      <c r="B365">
        <v>-0.29371668000000001</v>
      </c>
      <c r="C365">
        <v>0.15848008599999999</v>
      </c>
      <c r="D365">
        <v>1.4264104999999999E-2</v>
      </c>
      <c r="E365">
        <v>2</v>
      </c>
      <c r="F365">
        <v>26</v>
      </c>
      <c r="G365">
        <v>10</v>
      </c>
      <c r="H365">
        <v>0</v>
      </c>
      <c r="I365">
        <v>3</v>
      </c>
      <c r="J365">
        <v>33.071170809999998</v>
      </c>
      <c r="K365">
        <v>18.101760859999999</v>
      </c>
      <c r="L365">
        <v>18.101760859999999</v>
      </c>
      <c r="M365">
        <v>2.8960092070000001</v>
      </c>
      <c r="N365">
        <v>1</v>
      </c>
      <c r="O365">
        <v>2.8960092070000001</v>
      </c>
    </row>
    <row r="366" spans="1:15">
      <c r="A366">
        <v>-0.11374564700000001</v>
      </c>
      <c r="B366">
        <v>0.60378693400000005</v>
      </c>
      <c r="C366">
        <v>-5.6872823000000003E-2</v>
      </c>
      <c r="D366">
        <v>0.34902179500000002</v>
      </c>
      <c r="E366">
        <v>3</v>
      </c>
      <c r="F366">
        <v>32</v>
      </c>
      <c r="G366">
        <v>10</v>
      </c>
      <c r="H366">
        <v>0</v>
      </c>
      <c r="I366">
        <v>3</v>
      </c>
      <c r="J366">
        <v>39.48826218</v>
      </c>
      <c r="K366">
        <v>16.717525479999999</v>
      </c>
      <c r="L366">
        <v>16.717525479999999</v>
      </c>
      <c r="M366">
        <v>2.8164575100000002</v>
      </c>
      <c r="N366">
        <v>1</v>
      </c>
      <c r="O366">
        <v>2.8164575100000002</v>
      </c>
    </row>
    <row r="367" spans="1:15">
      <c r="A367">
        <v>8.1218399999999997E-4</v>
      </c>
      <c r="B367">
        <v>1.025569586</v>
      </c>
      <c r="C367">
        <v>4.0609199999999999E-4</v>
      </c>
      <c r="D367">
        <v>0.72932059500000002</v>
      </c>
      <c r="E367">
        <v>4</v>
      </c>
      <c r="F367">
        <v>36</v>
      </c>
      <c r="G367">
        <v>16</v>
      </c>
      <c r="H367">
        <v>1</v>
      </c>
      <c r="I367">
        <v>1</v>
      </c>
      <c r="J367">
        <v>45.151847840000002</v>
      </c>
      <c r="K367">
        <v>24.20487404</v>
      </c>
      <c r="L367">
        <v>24.20487404</v>
      </c>
      <c r="M367">
        <v>3.1865539549999999</v>
      </c>
      <c r="N367">
        <v>1</v>
      </c>
      <c r="O367">
        <v>3.1865539549999999</v>
      </c>
    </row>
    <row r="368" spans="1:15">
      <c r="A368">
        <v>-0.40070973599999998</v>
      </c>
      <c r="B368">
        <v>-0.66503396400000003</v>
      </c>
      <c r="C368">
        <v>-0.20035486799999999</v>
      </c>
      <c r="D368">
        <v>-0.75444880299999995</v>
      </c>
      <c r="E368">
        <v>5</v>
      </c>
      <c r="F368">
        <v>36</v>
      </c>
      <c r="G368">
        <v>12</v>
      </c>
      <c r="H368">
        <v>1</v>
      </c>
      <c r="I368">
        <v>1</v>
      </c>
      <c r="J368">
        <v>24.346614840000001</v>
      </c>
      <c r="K368">
        <v>17.79574203</v>
      </c>
      <c r="N368">
        <v>0</v>
      </c>
      <c r="O368">
        <v>0</v>
      </c>
    </row>
    <row r="369" spans="1:15">
      <c r="A369">
        <v>0.83496362400000002</v>
      </c>
      <c r="B369">
        <v>0.17600168099999999</v>
      </c>
      <c r="C369">
        <v>0.41748181200000001</v>
      </c>
      <c r="D369">
        <v>0.71243864999999995</v>
      </c>
      <c r="E369">
        <v>6</v>
      </c>
      <c r="F369">
        <v>45</v>
      </c>
      <c r="G369">
        <v>20</v>
      </c>
      <c r="H369">
        <v>1</v>
      </c>
      <c r="I369">
        <v>0</v>
      </c>
      <c r="J369">
        <v>46.549263000000003</v>
      </c>
      <c r="K369">
        <v>35.009780880000001</v>
      </c>
      <c r="L369">
        <v>35.009780880000001</v>
      </c>
      <c r="M369">
        <v>3.5556275839999998</v>
      </c>
      <c r="N369">
        <v>1</v>
      </c>
      <c r="O369">
        <v>3.5556275839999998</v>
      </c>
    </row>
    <row r="370" spans="1:15">
      <c r="A370">
        <v>0.952664489</v>
      </c>
      <c r="B370">
        <v>0.39335177199999999</v>
      </c>
      <c r="C370">
        <v>0.47633224400000002</v>
      </c>
      <c r="D370">
        <v>0.94968280199999999</v>
      </c>
      <c r="E370">
        <v>7</v>
      </c>
      <c r="F370">
        <v>43</v>
      </c>
      <c r="G370">
        <v>12</v>
      </c>
      <c r="H370">
        <v>1</v>
      </c>
      <c r="I370">
        <v>4</v>
      </c>
      <c r="J370">
        <v>62.596195219999998</v>
      </c>
      <c r="K370">
        <v>27.315986630000001</v>
      </c>
      <c r="L370">
        <v>27.315986630000001</v>
      </c>
      <c r="M370">
        <v>3.307472229</v>
      </c>
      <c r="N370">
        <v>1</v>
      </c>
      <c r="O370">
        <v>3.307472229</v>
      </c>
    </row>
    <row r="371" spans="1:15">
      <c r="A371">
        <v>-0.14034031799999999</v>
      </c>
      <c r="B371">
        <v>0.29981543599999999</v>
      </c>
      <c r="C371">
        <v>-7.0170158999999996E-2</v>
      </c>
      <c r="D371">
        <v>0.114317061</v>
      </c>
      <c r="E371">
        <v>8</v>
      </c>
      <c r="F371">
        <v>37</v>
      </c>
      <c r="G371">
        <v>12</v>
      </c>
      <c r="H371">
        <v>1</v>
      </c>
      <c r="I371">
        <v>3</v>
      </c>
      <c r="J371">
        <v>45.171806340000003</v>
      </c>
      <c r="K371">
        <v>19.557958599999999</v>
      </c>
      <c r="L371">
        <v>19.557958599999999</v>
      </c>
      <c r="M371">
        <v>2.9733822349999999</v>
      </c>
      <c r="N371">
        <v>1</v>
      </c>
      <c r="O371">
        <v>2.9733822349999999</v>
      </c>
    </row>
    <row r="372" spans="1:15">
      <c r="A372">
        <v>-0.195435371</v>
      </c>
      <c r="B372">
        <v>2.9018778749999998</v>
      </c>
      <c r="C372">
        <v>-9.7717685999999998E-2</v>
      </c>
      <c r="D372">
        <v>1.924532661</v>
      </c>
      <c r="E372">
        <v>9</v>
      </c>
      <c r="F372">
        <v>38</v>
      </c>
      <c r="G372">
        <v>12</v>
      </c>
      <c r="H372">
        <v>1</v>
      </c>
      <c r="I372">
        <v>0</v>
      </c>
      <c r="J372">
        <v>52.29439163</v>
      </c>
      <c r="K372">
        <v>19.427387240000002</v>
      </c>
      <c r="L372">
        <v>19.427387240000002</v>
      </c>
      <c r="M372">
        <v>2.9666838649999998</v>
      </c>
      <c r="N372">
        <v>1</v>
      </c>
      <c r="O372">
        <v>2.9666838649999998</v>
      </c>
    </row>
    <row r="373" spans="1:15">
      <c r="A373">
        <v>-1.6423284090000001</v>
      </c>
      <c r="B373">
        <v>-0.95341116999999997</v>
      </c>
      <c r="C373">
        <v>-0.82116420499999998</v>
      </c>
      <c r="D373">
        <v>-1.8328105939999999</v>
      </c>
      <c r="E373">
        <v>0</v>
      </c>
      <c r="F373">
        <v>28</v>
      </c>
      <c r="G373">
        <v>10</v>
      </c>
      <c r="H373">
        <v>0</v>
      </c>
      <c r="I373">
        <v>3</v>
      </c>
      <c r="J373">
        <v>11.706273080000001</v>
      </c>
      <c r="K373">
        <v>6.7460293770000002</v>
      </c>
      <c r="N373">
        <v>0</v>
      </c>
      <c r="O373">
        <v>0</v>
      </c>
    </row>
    <row r="374" spans="1:15">
      <c r="A374">
        <v>0.72116734800000004</v>
      </c>
      <c r="B374">
        <v>2.012559945</v>
      </c>
      <c r="C374">
        <v>0.36058367400000002</v>
      </c>
      <c r="D374">
        <v>1.9374074910000001</v>
      </c>
      <c r="E374">
        <v>1</v>
      </c>
      <c r="F374">
        <v>37</v>
      </c>
      <c r="G374">
        <v>10</v>
      </c>
      <c r="H374">
        <v>0</v>
      </c>
      <c r="I374">
        <v>4</v>
      </c>
      <c r="J374">
        <v>65.548889160000002</v>
      </c>
      <c r="K374">
        <v>22.727004999999998</v>
      </c>
      <c r="L374">
        <v>22.727004999999998</v>
      </c>
      <c r="M374">
        <v>3.1235537529999999</v>
      </c>
      <c r="N374">
        <v>1</v>
      </c>
      <c r="O374">
        <v>3.1235537529999999</v>
      </c>
    </row>
    <row r="375" spans="1:15">
      <c r="A375">
        <v>0.51685883799999999</v>
      </c>
      <c r="B375">
        <v>-0.29770564199999999</v>
      </c>
      <c r="C375">
        <v>0.25842941899999999</v>
      </c>
      <c r="D375">
        <v>0.15205318400000001</v>
      </c>
      <c r="E375">
        <v>2</v>
      </c>
      <c r="F375">
        <v>24</v>
      </c>
      <c r="G375">
        <v>10</v>
      </c>
      <c r="H375">
        <v>1</v>
      </c>
      <c r="I375">
        <v>0</v>
      </c>
      <c r="J375">
        <v>23.92463875</v>
      </c>
      <c r="K375">
        <v>18.901153560000001</v>
      </c>
      <c r="N375">
        <v>0</v>
      </c>
      <c r="O375">
        <v>0</v>
      </c>
    </row>
    <row r="376" spans="1:15">
      <c r="A376">
        <v>-1.9025507230000001</v>
      </c>
      <c r="B376">
        <v>0.65475897999999999</v>
      </c>
      <c r="C376">
        <v>-0.95127536199999996</v>
      </c>
      <c r="D376">
        <v>-0.87313672099999995</v>
      </c>
      <c r="E376">
        <v>3</v>
      </c>
      <c r="F376">
        <v>26</v>
      </c>
      <c r="G376">
        <v>12</v>
      </c>
      <c r="H376">
        <v>0</v>
      </c>
      <c r="I376">
        <v>1</v>
      </c>
      <c r="J376">
        <v>13.92235947</v>
      </c>
      <c r="K376">
        <v>6.7846956250000003</v>
      </c>
      <c r="N376">
        <v>0</v>
      </c>
      <c r="O376">
        <v>0</v>
      </c>
    </row>
    <row r="377" spans="1:15">
      <c r="A377">
        <v>0.96518313600000005</v>
      </c>
      <c r="B377">
        <v>-1.4342803390000001</v>
      </c>
      <c r="C377">
        <v>0.48259156800000003</v>
      </c>
      <c r="D377">
        <v>-0.34018949300000001</v>
      </c>
      <c r="E377">
        <v>4</v>
      </c>
      <c r="F377">
        <v>28</v>
      </c>
      <c r="G377">
        <v>12</v>
      </c>
      <c r="H377">
        <v>0</v>
      </c>
      <c r="I377">
        <v>1</v>
      </c>
      <c r="J377">
        <v>21.117725369999999</v>
      </c>
      <c r="K377">
        <v>24.391098020000001</v>
      </c>
      <c r="N377">
        <v>0</v>
      </c>
      <c r="O377">
        <v>0</v>
      </c>
    </row>
    <row r="378" spans="1:15">
      <c r="A378">
        <v>1.154131099</v>
      </c>
      <c r="B378">
        <v>0.99632663300000002</v>
      </c>
      <c r="C378">
        <v>0.57706555000000004</v>
      </c>
      <c r="D378">
        <v>1.5198712480000001</v>
      </c>
      <c r="E378">
        <v>5</v>
      </c>
      <c r="F378">
        <v>34</v>
      </c>
      <c r="G378">
        <v>10</v>
      </c>
      <c r="H378">
        <v>0</v>
      </c>
      <c r="I378">
        <v>3</v>
      </c>
      <c r="J378">
        <v>54.338455199999999</v>
      </c>
      <c r="K378">
        <v>24.724786760000001</v>
      </c>
      <c r="L378">
        <v>24.724786760000001</v>
      </c>
      <c r="M378">
        <v>3.2078063490000002</v>
      </c>
      <c r="N378">
        <v>1</v>
      </c>
      <c r="O378">
        <v>3.2078063490000002</v>
      </c>
    </row>
    <row r="379" spans="1:15">
      <c r="A379">
        <v>-0.66434664499999996</v>
      </c>
      <c r="B379">
        <v>0.89156878100000003</v>
      </c>
      <c r="C379">
        <v>-0.33217332300000002</v>
      </c>
      <c r="D379">
        <v>0.16618022199999999</v>
      </c>
      <c r="E379">
        <v>6</v>
      </c>
      <c r="F379">
        <v>37</v>
      </c>
      <c r="G379">
        <v>16</v>
      </c>
      <c r="H379">
        <v>1</v>
      </c>
      <c r="I379">
        <v>1</v>
      </c>
      <c r="J379">
        <v>38.794162749999998</v>
      </c>
      <c r="K379">
        <v>20.413919450000002</v>
      </c>
      <c r="L379">
        <v>20.413919450000002</v>
      </c>
      <c r="M379">
        <v>3.016216993</v>
      </c>
      <c r="N379">
        <v>1</v>
      </c>
      <c r="O379">
        <v>3.016216993</v>
      </c>
    </row>
    <row r="380" spans="1:15">
      <c r="A380">
        <v>-0.44446423699999998</v>
      </c>
      <c r="B380">
        <v>1.0094379069999999</v>
      </c>
      <c r="C380">
        <v>-0.22223211800000001</v>
      </c>
      <c r="D380">
        <v>0.404617269</v>
      </c>
      <c r="E380">
        <v>7</v>
      </c>
      <c r="F380">
        <v>42</v>
      </c>
      <c r="G380">
        <v>12</v>
      </c>
      <c r="H380">
        <v>1</v>
      </c>
      <c r="I380">
        <v>2</v>
      </c>
      <c r="J380">
        <v>45.65540695</v>
      </c>
      <c r="K380">
        <v>18.73321533</v>
      </c>
      <c r="L380">
        <v>18.73321533</v>
      </c>
      <c r="M380">
        <v>2.93029809</v>
      </c>
      <c r="N380">
        <v>1</v>
      </c>
      <c r="O380">
        <v>2.93029809</v>
      </c>
    </row>
    <row r="381" spans="1:15">
      <c r="A381">
        <v>0.62281589500000001</v>
      </c>
      <c r="B381">
        <v>0.26904224100000002</v>
      </c>
      <c r="C381">
        <v>0.31140794799999999</v>
      </c>
      <c r="D381">
        <v>0.62931095599999998</v>
      </c>
      <c r="E381">
        <v>8</v>
      </c>
      <c r="F381">
        <v>44</v>
      </c>
      <c r="G381">
        <v>16</v>
      </c>
      <c r="H381">
        <v>1</v>
      </c>
      <c r="I381">
        <v>1</v>
      </c>
      <c r="J381">
        <v>47.151729580000001</v>
      </c>
      <c r="K381">
        <v>29.536895749999999</v>
      </c>
      <c r="L381">
        <v>29.536895749999999</v>
      </c>
      <c r="M381">
        <v>3.3856401439999999</v>
      </c>
      <c r="N381">
        <v>1</v>
      </c>
      <c r="O381">
        <v>3.3856401439999999</v>
      </c>
    </row>
    <row r="382" spans="1:15">
      <c r="A382">
        <v>-0.140895249</v>
      </c>
      <c r="B382">
        <v>-3.2094645740000001</v>
      </c>
      <c r="C382">
        <v>-7.0447625E-2</v>
      </c>
      <c r="D382">
        <v>-2.3796975370000002</v>
      </c>
      <c r="E382">
        <v>9</v>
      </c>
      <c r="F382">
        <v>42</v>
      </c>
      <c r="G382">
        <v>16</v>
      </c>
      <c r="H382">
        <v>1</v>
      </c>
      <c r="I382">
        <v>3</v>
      </c>
      <c r="J382">
        <v>20.243629460000001</v>
      </c>
      <c r="K382">
        <v>24.55462837</v>
      </c>
      <c r="N382">
        <v>0</v>
      </c>
      <c r="O382">
        <v>0</v>
      </c>
    </row>
    <row r="383" spans="1:15">
      <c r="A383">
        <v>1.4162002119999999</v>
      </c>
      <c r="B383">
        <v>2.0014723010000002</v>
      </c>
      <c r="C383">
        <v>0.70810010599999995</v>
      </c>
      <c r="D383">
        <v>2.418466526</v>
      </c>
      <c r="E383">
        <v>0</v>
      </c>
      <c r="F383">
        <v>42</v>
      </c>
      <c r="G383">
        <v>10</v>
      </c>
      <c r="H383">
        <v>0</v>
      </c>
      <c r="I383">
        <v>1</v>
      </c>
      <c r="J383">
        <v>58.321598049999999</v>
      </c>
      <c r="K383">
        <v>27.897201540000001</v>
      </c>
      <c r="L383">
        <v>27.897201540000001</v>
      </c>
      <c r="M383">
        <v>3.3285264969999999</v>
      </c>
      <c r="N383">
        <v>1</v>
      </c>
      <c r="O383">
        <v>3.3285264969999999</v>
      </c>
    </row>
    <row r="384" spans="1:15">
      <c r="A384">
        <v>0.60097144000000002</v>
      </c>
      <c r="B384">
        <v>0.94600520399999999</v>
      </c>
      <c r="C384">
        <v>0.30048572000000001</v>
      </c>
      <c r="D384">
        <v>1.0949802930000001</v>
      </c>
      <c r="E384">
        <v>1</v>
      </c>
      <c r="F384">
        <v>47</v>
      </c>
      <c r="G384">
        <v>12</v>
      </c>
      <c r="H384">
        <v>0</v>
      </c>
      <c r="I384">
        <v>0</v>
      </c>
      <c r="J384">
        <v>40.939762119999997</v>
      </c>
      <c r="K384">
        <v>26.005828860000001</v>
      </c>
      <c r="L384">
        <v>26.005828860000001</v>
      </c>
      <c r="M384">
        <v>3.2583208080000001</v>
      </c>
      <c r="N384">
        <v>1</v>
      </c>
      <c r="O384">
        <v>3.2583208080000001</v>
      </c>
    </row>
    <row r="385" spans="1:15">
      <c r="A385">
        <v>-2.1022511210000001</v>
      </c>
      <c r="B385">
        <v>-0.42491218400000003</v>
      </c>
      <c r="C385">
        <v>-1.0511255610000001</v>
      </c>
      <c r="D385">
        <v>-1.780813545</v>
      </c>
      <c r="E385">
        <v>2</v>
      </c>
      <c r="F385">
        <v>30</v>
      </c>
      <c r="G385">
        <v>10</v>
      </c>
      <c r="H385">
        <v>1</v>
      </c>
      <c r="I385">
        <v>0</v>
      </c>
      <c r="J385">
        <v>3.130237341</v>
      </c>
      <c r="K385">
        <v>4.3864932059999999</v>
      </c>
      <c r="N385">
        <v>0</v>
      </c>
      <c r="O385">
        <v>0</v>
      </c>
    </row>
    <row r="386" spans="1:15">
      <c r="A386">
        <v>0.64090445299999999</v>
      </c>
      <c r="B386">
        <v>-0.85751422799999999</v>
      </c>
      <c r="C386">
        <v>0.32045222600000001</v>
      </c>
      <c r="D386">
        <v>-0.15847271499999999</v>
      </c>
      <c r="E386">
        <v>3</v>
      </c>
      <c r="F386">
        <v>36</v>
      </c>
      <c r="G386">
        <v>10</v>
      </c>
      <c r="H386">
        <v>0</v>
      </c>
      <c r="I386">
        <v>2</v>
      </c>
      <c r="J386">
        <v>29.99832726</v>
      </c>
      <c r="K386">
        <v>22.045427320000002</v>
      </c>
      <c r="L386">
        <v>22.045427320000002</v>
      </c>
      <c r="M386">
        <v>3.0931053159999999</v>
      </c>
      <c r="N386">
        <v>1</v>
      </c>
      <c r="O386">
        <v>3.0931053159999999</v>
      </c>
    </row>
    <row r="387" spans="1:15">
      <c r="A387">
        <v>-1.6906604270000001</v>
      </c>
      <c r="B387">
        <v>-1.2351321019999999</v>
      </c>
      <c r="C387">
        <v>-0.845330213</v>
      </c>
      <c r="D387">
        <v>-2.0669961830000001</v>
      </c>
      <c r="E387">
        <v>4</v>
      </c>
      <c r="F387">
        <v>29</v>
      </c>
      <c r="G387">
        <v>16</v>
      </c>
      <c r="H387">
        <v>1</v>
      </c>
      <c r="I387">
        <v>2</v>
      </c>
      <c r="J387">
        <v>13.796046260000001</v>
      </c>
      <c r="K387">
        <v>12.65603733</v>
      </c>
      <c r="N387">
        <v>0</v>
      </c>
      <c r="O387">
        <v>0</v>
      </c>
    </row>
    <row r="388" spans="1:15">
      <c r="A388">
        <v>-0.74281404699999998</v>
      </c>
      <c r="B388">
        <v>1.370135224</v>
      </c>
      <c r="C388">
        <v>-0.371407023</v>
      </c>
      <c r="D388">
        <v>0.45104017499999999</v>
      </c>
      <c r="E388">
        <v>5</v>
      </c>
      <c r="F388">
        <v>30</v>
      </c>
      <c r="G388">
        <v>16</v>
      </c>
      <c r="H388">
        <v>1</v>
      </c>
      <c r="I388">
        <v>1</v>
      </c>
      <c r="J388">
        <v>39.412483219999999</v>
      </c>
      <c r="K388">
        <v>18.543115619999998</v>
      </c>
      <c r="L388">
        <v>18.543115619999998</v>
      </c>
      <c r="M388">
        <v>2.9200985429999999</v>
      </c>
      <c r="N388">
        <v>1</v>
      </c>
      <c r="O388">
        <v>2.9200985429999999</v>
      </c>
    </row>
    <row r="389" spans="1:15">
      <c r="A389">
        <v>-1.3585749579999999</v>
      </c>
      <c r="B389">
        <v>-0.28551655500000001</v>
      </c>
      <c r="C389">
        <v>-0.67928747899999997</v>
      </c>
      <c r="D389">
        <v>-1.1586047989999999</v>
      </c>
      <c r="E389">
        <v>6</v>
      </c>
      <c r="F389">
        <v>41</v>
      </c>
      <c r="G389">
        <v>10</v>
      </c>
      <c r="H389">
        <v>1</v>
      </c>
      <c r="I389">
        <v>0</v>
      </c>
      <c r="J389">
        <v>14.99674225</v>
      </c>
      <c r="K389">
        <v>11.048550609999999</v>
      </c>
      <c r="N389">
        <v>0</v>
      </c>
      <c r="O389">
        <v>0</v>
      </c>
    </row>
    <row r="390" spans="1:15">
      <c r="A390">
        <v>2.0951738000000001E-2</v>
      </c>
      <c r="B390">
        <v>1.1094424700000001</v>
      </c>
      <c r="C390">
        <v>1.0475869E-2</v>
      </c>
      <c r="D390">
        <v>0.80308664699999999</v>
      </c>
      <c r="E390">
        <v>7</v>
      </c>
      <c r="F390">
        <v>34</v>
      </c>
      <c r="G390">
        <v>12</v>
      </c>
      <c r="H390">
        <v>1</v>
      </c>
      <c r="I390">
        <v>3</v>
      </c>
      <c r="J390">
        <v>52.237041470000001</v>
      </c>
      <c r="K390">
        <v>19.925710680000002</v>
      </c>
      <c r="L390">
        <v>19.925710680000002</v>
      </c>
      <c r="M390">
        <v>2.9920108320000001</v>
      </c>
      <c r="N390">
        <v>1</v>
      </c>
      <c r="O390">
        <v>2.9920108320000001</v>
      </c>
    </row>
    <row r="391" spans="1:15">
      <c r="A391">
        <v>0.65694446399999995</v>
      </c>
      <c r="B391">
        <v>0.23971228999999999</v>
      </c>
      <c r="C391">
        <v>0.32847223199999998</v>
      </c>
      <c r="D391">
        <v>0.63247824699999999</v>
      </c>
      <c r="E391">
        <v>8</v>
      </c>
      <c r="F391">
        <v>36</v>
      </c>
      <c r="G391">
        <v>16</v>
      </c>
      <c r="H391">
        <v>1</v>
      </c>
      <c r="I391">
        <v>1</v>
      </c>
      <c r="J391">
        <v>43.989738459999998</v>
      </c>
      <c r="K391">
        <v>28.141666409999999</v>
      </c>
      <c r="L391">
        <v>28.141666409999999</v>
      </c>
      <c r="M391">
        <v>3.337251186</v>
      </c>
      <c r="N391">
        <v>1</v>
      </c>
      <c r="O391">
        <v>3.337251186</v>
      </c>
    </row>
    <row r="392" spans="1:15">
      <c r="A392">
        <v>-0.268856127</v>
      </c>
      <c r="B392">
        <v>-1.2196790260000001</v>
      </c>
      <c r="C392">
        <v>-0.13442806299999999</v>
      </c>
      <c r="D392">
        <v>-1.055812883</v>
      </c>
      <c r="E392">
        <v>9</v>
      </c>
      <c r="F392">
        <v>53</v>
      </c>
      <c r="G392">
        <v>12</v>
      </c>
      <c r="H392">
        <v>1</v>
      </c>
      <c r="I392">
        <v>4</v>
      </c>
      <c r="J392">
        <v>42.530246730000002</v>
      </c>
      <c r="K392">
        <v>21.986864090000001</v>
      </c>
      <c r="L392">
        <v>21.986864090000001</v>
      </c>
      <c r="M392">
        <v>3.09044528</v>
      </c>
      <c r="N392">
        <v>1</v>
      </c>
      <c r="O392">
        <v>3.09044528</v>
      </c>
    </row>
    <row r="393" spans="1:15">
      <c r="A393">
        <v>0.419862244</v>
      </c>
      <c r="B393">
        <v>0.346475898</v>
      </c>
      <c r="C393">
        <v>0.209931122</v>
      </c>
      <c r="D393">
        <v>0.54156110599999996</v>
      </c>
      <c r="E393">
        <v>0</v>
      </c>
      <c r="F393">
        <v>23</v>
      </c>
      <c r="G393">
        <v>10</v>
      </c>
      <c r="H393">
        <v>0</v>
      </c>
      <c r="I393">
        <v>1</v>
      </c>
      <c r="J393">
        <v>28.198732379999999</v>
      </c>
      <c r="K393">
        <v>18.119173050000001</v>
      </c>
      <c r="N393">
        <v>0</v>
      </c>
      <c r="O393">
        <v>0</v>
      </c>
    </row>
    <row r="394" spans="1:15">
      <c r="A394">
        <v>-0.87269985299999997</v>
      </c>
      <c r="B394">
        <v>0.83527503000000003</v>
      </c>
      <c r="C394">
        <v>-0.436349926</v>
      </c>
      <c r="D394">
        <v>-2.03921E-2</v>
      </c>
      <c r="E394">
        <v>1</v>
      </c>
      <c r="F394">
        <v>46</v>
      </c>
      <c r="G394">
        <v>10</v>
      </c>
      <c r="H394">
        <v>0</v>
      </c>
      <c r="I394">
        <v>0</v>
      </c>
      <c r="J394">
        <v>25.655294420000001</v>
      </c>
      <c r="K394">
        <v>14.963800429999999</v>
      </c>
      <c r="N394">
        <v>0</v>
      </c>
      <c r="O394">
        <v>0</v>
      </c>
    </row>
    <row r="395" spans="1:15">
      <c r="A395">
        <v>-0.879955186</v>
      </c>
      <c r="B395">
        <v>-1.8370529760000001</v>
      </c>
      <c r="C395">
        <v>-0.439977593</v>
      </c>
      <c r="D395">
        <v>-1.9243988949999999</v>
      </c>
      <c r="E395">
        <v>2</v>
      </c>
      <c r="F395">
        <v>31</v>
      </c>
      <c r="G395">
        <v>10</v>
      </c>
      <c r="H395">
        <v>1</v>
      </c>
      <c r="I395">
        <v>0</v>
      </c>
      <c r="J395">
        <v>1.807213306</v>
      </c>
      <c r="K395">
        <v>11.92026901</v>
      </c>
      <c r="N395">
        <v>0</v>
      </c>
      <c r="O395">
        <v>0</v>
      </c>
    </row>
    <row r="396" spans="1:15">
      <c r="A396">
        <v>-0.23661294499999999</v>
      </c>
      <c r="B396">
        <v>0.10912978700000001</v>
      </c>
      <c r="C396">
        <v>-0.118306472</v>
      </c>
      <c r="D396">
        <v>-8.8905658999999998E-2</v>
      </c>
      <c r="E396">
        <v>3</v>
      </c>
      <c r="F396">
        <v>35</v>
      </c>
      <c r="G396">
        <v>10</v>
      </c>
      <c r="H396">
        <v>1</v>
      </c>
      <c r="I396">
        <v>2</v>
      </c>
      <c r="J396">
        <v>35.43313217</v>
      </c>
      <c r="K396">
        <v>16.58032227</v>
      </c>
      <c r="L396">
        <v>16.58032227</v>
      </c>
      <c r="M396">
        <v>2.8082165720000001</v>
      </c>
      <c r="N396">
        <v>1</v>
      </c>
      <c r="O396">
        <v>2.8082165720000001</v>
      </c>
    </row>
    <row r="397" spans="1:15">
      <c r="A397">
        <v>-0.46391952800000003</v>
      </c>
      <c r="B397">
        <v>-1.5868896859999999</v>
      </c>
      <c r="C397">
        <v>-0.23195976400000001</v>
      </c>
      <c r="D397">
        <v>-1.4539675080000001</v>
      </c>
      <c r="E397">
        <v>4</v>
      </c>
      <c r="F397">
        <v>28</v>
      </c>
      <c r="G397">
        <v>10</v>
      </c>
      <c r="H397">
        <v>1</v>
      </c>
      <c r="I397">
        <v>3</v>
      </c>
      <c r="J397">
        <v>21.252389910000002</v>
      </c>
      <c r="K397">
        <v>13.816482540000001</v>
      </c>
      <c r="N397">
        <v>0</v>
      </c>
      <c r="O397">
        <v>0</v>
      </c>
    </row>
    <row r="398" spans="1:15">
      <c r="A398">
        <v>0.67389943399999996</v>
      </c>
      <c r="B398">
        <v>4.5357448000000002E-2</v>
      </c>
      <c r="C398">
        <v>0.33694971699999998</v>
      </c>
      <c r="D398">
        <v>0.50630096599999996</v>
      </c>
      <c r="E398">
        <v>5</v>
      </c>
      <c r="F398">
        <v>42</v>
      </c>
      <c r="G398">
        <v>10</v>
      </c>
      <c r="H398">
        <v>1</v>
      </c>
      <c r="I398">
        <v>3</v>
      </c>
      <c r="J398">
        <v>50.375610350000002</v>
      </c>
      <c r="K398">
        <v>23.443397520000001</v>
      </c>
      <c r="L398">
        <v>23.443397520000001</v>
      </c>
      <c r="M398">
        <v>3.1545889379999998</v>
      </c>
      <c r="N398">
        <v>1</v>
      </c>
      <c r="O398">
        <v>3.1545889379999998</v>
      </c>
    </row>
    <row r="399" spans="1:15">
      <c r="A399">
        <v>0.59286573899999995</v>
      </c>
      <c r="B399">
        <v>-1.8121593199999999</v>
      </c>
      <c r="C399">
        <v>0.29643286899999999</v>
      </c>
      <c r="D399">
        <v>-0.870618428</v>
      </c>
      <c r="E399">
        <v>6</v>
      </c>
      <c r="F399">
        <v>48</v>
      </c>
      <c r="G399">
        <v>10</v>
      </c>
      <c r="H399">
        <v>1</v>
      </c>
      <c r="I399">
        <v>4</v>
      </c>
      <c r="J399">
        <v>41.252578739999997</v>
      </c>
      <c r="K399">
        <v>24.157194140000001</v>
      </c>
      <c r="L399">
        <v>24.157194140000001</v>
      </c>
      <c r="M399">
        <v>3.184582233</v>
      </c>
      <c r="N399">
        <v>1</v>
      </c>
      <c r="O399">
        <v>3.184582233</v>
      </c>
    </row>
    <row r="400" spans="1:15">
      <c r="A400">
        <v>0.86477169899999995</v>
      </c>
      <c r="B400">
        <v>-0.71963342399999997</v>
      </c>
      <c r="C400">
        <v>0.43238584899999999</v>
      </c>
      <c r="D400">
        <v>9.6987460999999997E-2</v>
      </c>
      <c r="E400">
        <v>7</v>
      </c>
      <c r="F400">
        <v>46</v>
      </c>
      <c r="G400">
        <v>16</v>
      </c>
      <c r="H400">
        <v>1</v>
      </c>
      <c r="I400">
        <v>1</v>
      </c>
      <c r="J400">
        <v>41.5638504</v>
      </c>
      <c r="K400">
        <v>31.388629909999999</v>
      </c>
      <c r="L400">
        <v>31.388629909999999</v>
      </c>
      <c r="M400">
        <v>3.4464457039999998</v>
      </c>
      <c r="N400">
        <v>1</v>
      </c>
      <c r="O400">
        <v>3.4464457039999998</v>
      </c>
    </row>
    <row r="401" spans="1:15">
      <c r="A401">
        <v>-0.66746664300000003</v>
      </c>
      <c r="B401">
        <v>0.72121966800000004</v>
      </c>
      <c r="C401">
        <v>-0.33373332100000003</v>
      </c>
      <c r="D401">
        <v>4.2938709999999998E-2</v>
      </c>
      <c r="E401">
        <v>8</v>
      </c>
      <c r="F401">
        <v>39</v>
      </c>
      <c r="G401">
        <v>12</v>
      </c>
      <c r="H401">
        <v>1</v>
      </c>
      <c r="I401">
        <v>1</v>
      </c>
      <c r="J401">
        <v>35.115264889999999</v>
      </c>
      <c r="K401">
        <v>16.795200350000002</v>
      </c>
      <c r="L401">
        <v>16.795200350000002</v>
      </c>
      <c r="M401">
        <v>2.821093082</v>
      </c>
      <c r="N401">
        <v>1</v>
      </c>
      <c r="O401">
        <v>2.821093082</v>
      </c>
    </row>
    <row r="402" spans="1:15">
      <c r="A402">
        <v>-0.13433682999999999</v>
      </c>
      <c r="B402">
        <v>-1.9453745250000001</v>
      </c>
      <c r="C402">
        <v>-6.7168414999999995E-2</v>
      </c>
      <c r="D402">
        <v>-1.4768467409999999</v>
      </c>
      <c r="E402">
        <v>9</v>
      </c>
      <c r="F402">
        <v>44</v>
      </c>
      <c r="G402">
        <v>16</v>
      </c>
      <c r="H402">
        <v>1</v>
      </c>
      <c r="I402">
        <v>1</v>
      </c>
      <c r="J402">
        <v>21.877840039999999</v>
      </c>
      <c r="K402">
        <v>24.993978500000001</v>
      </c>
      <c r="N402">
        <v>0</v>
      </c>
      <c r="O402">
        <v>0</v>
      </c>
    </row>
    <row r="403" spans="1:15">
      <c r="A403">
        <v>-1.1975510819999999</v>
      </c>
      <c r="B403">
        <v>0.372296615</v>
      </c>
      <c r="C403">
        <v>-0.59877554099999997</v>
      </c>
      <c r="D403">
        <v>-0.57789976700000001</v>
      </c>
      <c r="E403">
        <v>0</v>
      </c>
      <c r="F403">
        <v>36</v>
      </c>
      <c r="G403">
        <v>10</v>
      </c>
      <c r="H403">
        <v>0</v>
      </c>
      <c r="I403">
        <v>2</v>
      </c>
      <c r="J403">
        <v>24.96520233</v>
      </c>
      <c r="K403">
        <v>11.01469326</v>
      </c>
      <c r="N403">
        <v>0</v>
      </c>
      <c r="O403">
        <v>0</v>
      </c>
    </row>
    <row r="404" spans="1:15">
      <c r="A404">
        <v>-2.707611655</v>
      </c>
      <c r="B404">
        <v>-1.559765313</v>
      </c>
      <c r="C404">
        <v>-1.353805827</v>
      </c>
      <c r="D404">
        <v>-3.0130730130000001</v>
      </c>
      <c r="E404">
        <v>1</v>
      </c>
      <c r="F404">
        <v>23</v>
      </c>
      <c r="G404">
        <v>10</v>
      </c>
      <c r="H404">
        <v>0</v>
      </c>
      <c r="I404">
        <v>1</v>
      </c>
      <c r="J404">
        <v>-14.456875800000001</v>
      </c>
      <c r="K404">
        <v>-0.64566993699999997</v>
      </c>
      <c r="N404">
        <v>0</v>
      </c>
      <c r="O404">
        <v>0</v>
      </c>
    </row>
    <row r="405" spans="1:15">
      <c r="A405">
        <v>-1.9148503109999999</v>
      </c>
      <c r="B405">
        <v>0.592015862</v>
      </c>
      <c r="C405">
        <v>-0.957425156</v>
      </c>
      <c r="D405">
        <v>-0.92637316999999997</v>
      </c>
      <c r="E405">
        <v>2</v>
      </c>
      <c r="F405">
        <v>49</v>
      </c>
      <c r="G405">
        <v>16</v>
      </c>
      <c r="H405">
        <v>0</v>
      </c>
      <c r="I405">
        <v>2</v>
      </c>
      <c r="J405">
        <v>30.48352242</v>
      </c>
      <c r="K405">
        <v>15.31089783</v>
      </c>
      <c r="L405">
        <v>15.31089783</v>
      </c>
      <c r="M405">
        <v>2.7285647389999999</v>
      </c>
      <c r="N405">
        <v>1</v>
      </c>
      <c r="O405">
        <v>2.7285647389999999</v>
      </c>
    </row>
    <row r="406" spans="1:15">
      <c r="A406">
        <v>-0.46988793200000001</v>
      </c>
      <c r="B406">
        <v>1.1520146200000001</v>
      </c>
      <c r="C406">
        <v>-0.234943966</v>
      </c>
      <c r="D406">
        <v>0.48804451700000001</v>
      </c>
      <c r="E406">
        <v>3</v>
      </c>
      <c r="F406">
        <v>38</v>
      </c>
      <c r="G406">
        <v>16</v>
      </c>
      <c r="H406">
        <v>1</v>
      </c>
      <c r="I406">
        <v>2</v>
      </c>
      <c r="J406">
        <v>48.056533809999998</v>
      </c>
      <c r="K406">
        <v>21.780672070000001</v>
      </c>
      <c r="L406">
        <v>21.780672070000001</v>
      </c>
      <c r="M406">
        <v>3.081022978</v>
      </c>
      <c r="N406">
        <v>1</v>
      </c>
      <c r="O406">
        <v>3.081022978</v>
      </c>
    </row>
    <row r="407" spans="1:15">
      <c r="A407">
        <v>-1.200857149</v>
      </c>
      <c r="B407">
        <v>-1.653250455</v>
      </c>
      <c r="C407">
        <v>-0.60042857500000002</v>
      </c>
      <c r="D407">
        <v>-2.019538753</v>
      </c>
      <c r="E407">
        <v>4</v>
      </c>
      <c r="F407">
        <v>29</v>
      </c>
      <c r="G407">
        <v>16</v>
      </c>
      <c r="H407">
        <v>1</v>
      </c>
      <c r="I407">
        <v>4</v>
      </c>
      <c r="J407">
        <v>24.365535739999999</v>
      </c>
      <c r="K407">
        <v>15.59485722</v>
      </c>
      <c r="N407">
        <v>0</v>
      </c>
      <c r="O407">
        <v>0</v>
      </c>
    </row>
    <row r="408" spans="1:15">
      <c r="A408">
        <v>-0.17500322300000001</v>
      </c>
      <c r="B408">
        <v>-0.115139509</v>
      </c>
      <c r="C408">
        <v>-8.7501611000000007E-2</v>
      </c>
      <c r="D408">
        <v>-0.20492608700000001</v>
      </c>
      <c r="E408">
        <v>5</v>
      </c>
      <c r="F408">
        <v>31</v>
      </c>
      <c r="G408">
        <v>16</v>
      </c>
      <c r="H408">
        <v>0</v>
      </c>
      <c r="I408">
        <v>2</v>
      </c>
      <c r="J408">
        <v>31.940887450000002</v>
      </c>
      <c r="K408">
        <v>22.149980549999999</v>
      </c>
      <c r="L408">
        <v>22.149980549999999</v>
      </c>
      <c r="M408">
        <v>3.0978367329999998</v>
      </c>
      <c r="N408">
        <v>1</v>
      </c>
      <c r="O408">
        <v>3.0978367329999998</v>
      </c>
    </row>
    <row r="409" spans="1:15">
      <c r="A409">
        <v>0.277639627</v>
      </c>
      <c r="B409">
        <v>0.602438539</v>
      </c>
      <c r="C409">
        <v>0.13881981299999999</v>
      </c>
      <c r="D409">
        <v>0.62339309799999998</v>
      </c>
      <c r="E409">
        <v>6</v>
      </c>
      <c r="F409">
        <v>39</v>
      </c>
      <c r="G409">
        <v>12</v>
      </c>
      <c r="H409">
        <v>1</v>
      </c>
      <c r="I409">
        <v>3</v>
      </c>
      <c r="J409">
        <v>52.080718990000001</v>
      </c>
      <c r="K409">
        <v>22.465837480000001</v>
      </c>
      <c r="L409">
        <v>22.465837480000001</v>
      </c>
      <c r="M409">
        <v>3.1119959349999999</v>
      </c>
      <c r="N409">
        <v>1</v>
      </c>
      <c r="O409">
        <v>3.1119959349999999</v>
      </c>
    </row>
    <row r="410" spans="1:15">
      <c r="A410">
        <v>-3.5813638000000002E-2</v>
      </c>
      <c r="B410">
        <v>0.41042157499999998</v>
      </c>
      <c r="C410">
        <v>-1.7906819000000001E-2</v>
      </c>
      <c r="D410">
        <v>0.26644339500000003</v>
      </c>
      <c r="E410">
        <v>7</v>
      </c>
      <c r="F410">
        <v>41</v>
      </c>
      <c r="G410">
        <v>10</v>
      </c>
      <c r="H410">
        <v>1</v>
      </c>
      <c r="I410">
        <v>3</v>
      </c>
      <c r="J410">
        <v>47.09732056</v>
      </c>
      <c r="K410">
        <v>18.985118870000001</v>
      </c>
      <c r="L410">
        <v>18.985118870000001</v>
      </c>
      <c r="M410">
        <v>2.9436554909999999</v>
      </c>
      <c r="N410">
        <v>1</v>
      </c>
      <c r="O410">
        <v>2.9436554909999999</v>
      </c>
    </row>
    <row r="411" spans="1:15">
      <c r="A411">
        <v>-0.491546064</v>
      </c>
      <c r="B411">
        <v>1.072088046</v>
      </c>
      <c r="C411">
        <v>-0.245773032</v>
      </c>
      <c r="D411">
        <v>0.41601435399999998</v>
      </c>
      <c r="E411">
        <v>8</v>
      </c>
      <c r="F411">
        <v>37</v>
      </c>
      <c r="G411">
        <v>16</v>
      </c>
      <c r="H411">
        <v>1</v>
      </c>
      <c r="I411">
        <v>4</v>
      </c>
      <c r="J411">
        <v>56.79217148</v>
      </c>
      <c r="K411">
        <v>21.45072365</v>
      </c>
      <c r="L411">
        <v>21.45072365</v>
      </c>
      <c r="M411">
        <v>3.0657584670000002</v>
      </c>
      <c r="N411">
        <v>1</v>
      </c>
      <c r="O411">
        <v>3.0657584670000002</v>
      </c>
    </row>
    <row r="412" spans="1:15">
      <c r="A412">
        <v>1.4128924199999999</v>
      </c>
      <c r="B412">
        <v>-0.702617359</v>
      </c>
      <c r="C412">
        <v>0.70644620999999996</v>
      </c>
      <c r="D412">
        <v>0.49466752800000002</v>
      </c>
      <c r="E412">
        <v>9</v>
      </c>
      <c r="F412">
        <v>40</v>
      </c>
      <c r="G412">
        <v>16</v>
      </c>
      <c r="H412">
        <v>1</v>
      </c>
      <c r="I412">
        <v>4</v>
      </c>
      <c r="J412">
        <v>58.936008450000003</v>
      </c>
      <c r="K412">
        <v>33.477355959999997</v>
      </c>
      <c r="L412">
        <v>33.477355959999997</v>
      </c>
      <c r="M412">
        <v>3.5108692650000002</v>
      </c>
      <c r="N412">
        <v>1</v>
      </c>
      <c r="O412">
        <v>3.5108692650000002</v>
      </c>
    </row>
    <row r="413" spans="1:15">
      <c r="A413">
        <v>0.607313993</v>
      </c>
      <c r="B413">
        <v>-1.7000661969999999</v>
      </c>
      <c r="C413">
        <v>0.30365699699999998</v>
      </c>
      <c r="D413">
        <v>-0.78080332200000002</v>
      </c>
      <c r="E413">
        <v>0</v>
      </c>
      <c r="F413">
        <v>30</v>
      </c>
      <c r="G413">
        <v>10</v>
      </c>
      <c r="H413">
        <v>1</v>
      </c>
      <c r="I413">
        <v>0</v>
      </c>
      <c r="J413">
        <v>15.130360599999999</v>
      </c>
      <c r="K413">
        <v>20.643884660000001</v>
      </c>
      <c r="N413">
        <v>0</v>
      </c>
      <c r="O413">
        <v>0</v>
      </c>
    </row>
    <row r="414" spans="1:15">
      <c r="A414">
        <v>0.14331139800000001</v>
      </c>
      <c r="B414">
        <v>0.22165321700000001</v>
      </c>
      <c r="C414">
        <v>7.1655699000000003E-2</v>
      </c>
      <c r="D414">
        <v>0.25831821700000002</v>
      </c>
      <c r="E414">
        <v>1</v>
      </c>
      <c r="F414">
        <v>31</v>
      </c>
      <c r="G414">
        <v>10</v>
      </c>
      <c r="H414">
        <v>1</v>
      </c>
      <c r="I414">
        <v>0</v>
      </c>
      <c r="J414">
        <v>27.9998188</v>
      </c>
      <c r="K414">
        <v>18.059867860000001</v>
      </c>
      <c r="N414">
        <v>0</v>
      </c>
      <c r="O414">
        <v>0</v>
      </c>
    </row>
    <row r="415" spans="1:15">
      <c r="A415">
        <v>0.38951128200000001</v>
      </c>
      <c r="B415">
        <v>0.41294870099999997</v>
      </c>
      <c r="C415">
        <v>0.19475564100000001</v>
      </c>
      <c r="D415">
        <v>0.56744423200000005</v>
      </c>
      <c r="E415">
        <v>2</v>
      </c>
      <c r="F415">
        <v>25</v>
      </c>
      <c r="G415">
        <v>10</v>
      </c>
      <c r="H415">
        <v>1</v>
      </c>
      <c r="I415">
        <v>1</v>
      </c>
      <c r="J415">
        <v>34.309329990000002</v>
      </c>
      <c r="K415">
        <v>18.337068559999999</v>
      </c>
      <c r="L415">
        <v>18.337068559999999</v>
      </c>
      <c r="M415">
        <v>2.9089245799999999</v>
      </c>
      <c r="N415">
        <v>1</v>
      </c>
      <c r="O415">
        <v>2.9089245799999999</v>
      </c>
    </row>
    <row r="416" spans="1:15">
      <c r="A416">
        <v>-0.63817168400000002</v>
      </c>
      <c r="B416">
        <v>0.846359953</v>
      </c>
      <c r="C416">
        <v>-0.31908584200000001</v>
      </c>
      <c r="D416">
        <v>0.152469142</v>
      </c>
      <c r="E416">
        <v>3</v>
      </c>
      <c r="F416">
        <v>29</v>
      </c>
      <c r="G416">
        <v>12</v>
      </c>
      <c r="H416">
        <v>0</v>
      </c>
      <c r="I416">
        <v>3</v>
      </c>
      <c r="J416">
        <v>37.429630279999998</v>
      </c>
      <c r="K416">
        <v>14.970970149999999</v>
      </c>
      <c r="L416">
        <v>14.970970149999999</v>
      </c>
      <c r="M416">
        <v>2.7061131</v>
      </c>
      <c r="N416">
        <v>1</v>
      </c>
      <c r="O416">
        <v>2.7061131</v>
      </c>
    </row>
    <row r="417" spans="1:15">
      <c r="A417">
        <v>-1.3124787630000001</v>
      </c>
      <c r="B417">
        <v>-1.776299705</v>
      </c>
      <c r="C417">
        <v>-0.65623938100000001</v>
      </c>
      <c r="D417">
        <v>-2.185498017</v>
      </c>
      <c r="E417">
        <v>4</v>
      </c>
      <c r="F417">
        <v>28</v>
      </c>
      <c r="G417">
        <v>10</v>
      </c>
      <c r="H417">
        <v>1</v>
      </c>
      <c r="I417">
        <v>0</v>
      </c>
      <c r="J417">
        <v>-2.5259761809999999</v>
      </c>
      <c r="K417">
        <v>8.7251272199999992</v>
      </c>
      <c r="N417">
        <v>0</v>
      </c>
      <c r="O417">
        <v>0</v>
      </c>
    </row>
    <row r="418" spans="1:15">
      <c r="A418">
        <v>0.37608308000000001</v>
      </c>
      <c r="B418">
        <v>-0.474360373</v>
      </c>
      <c r="C418">
        <v>0.18804154000000001</v>
      </c>
      <c r="D418">
        <v>-7.2506249999999994E-2</v>
      </c>
      <c r="E418">
        <v>5</v>
      </c>
      <c r="F418">
        <v>33</v>
      </c>
      <c r="G418">
        <v>16</v>
      </c>
      <c r="H418">
        <v>1</v>
      </c>
      <c r="I418">
        <v>1</v>
      </c>
      <c r="J418">
        <v>34.329925539999998</v>
      </c>
      <c r="K418">
        <v>25.856498720000001</v>
      </c>
      <c r="L418">
        <v>25.856498720000001</v>
      </c>
      <c r="M418">
        <v>3.252562046</v>
      </c>
      <c r="N418">
        <v>1</v>
      </c>
      <c r="O418">
        <v>3.252562046</v>
      </c>
    </row>
    <row r="419" spans="1:15">
      <c r="A419">
        <v>-0.21139734900000001</v>
      </c>
      <c r="B419">
        <v>0.169969493</v>
      </c>
      <c r="C419">
        <v>-0.10569867400000001</v>
      </c>
      <c r="D419">
        <v>-2.7935659000000002E-2</v>
      </c>
      <c r="E419">
        <v>6</v>
      </c>
      <c r="F419">
        <v>38</v>
      </c>
      <c r="G419">
        <v>16</v>
      </c>
      <c r="H419">
        <v>1</v>
      </c>
      <c r="I419">
        <v>1</v>
      </c>
      <c r="J419">
        <v>36.864772799999997</v>
      </c>
      <c r="K419">
        <v>23.331615450000001</v>
      </c>
      <c r="L419">
        <v>23.331615450000001</v>
      </c>
      <c r="M419">
        <v>3.149809361</v>
      </c>
      <c r="N419">
        <v>1</v>
      </c>
      <c r="O419">
        <v>3.149809361</v>
      </c>
    </row>
    <row r="420" spans="1:15">
      <c r="A420">
        <v>-0.50281779999999998</v>
      </c>
      <c r="B420">
        <v>-0.13065395899999999</v>
      </c>
      <c r="C420">
        <v>-0.25140889999999999</v>
      </c>
      <c r="D420">
        <v>-0.44655944400000003</v>
      </c>
      <c r="E420">
        <v>7</v>
      </c>
      <c r="F420">
        <v>34</v>
      </c>
      <c r="G420">
        <v>12</v>
      </c>
      <c r="H420">
        <v>1</v>
      </c>
      <c r="I420">
        <v>0</v>
      </c>
      <c r="J420">
        <v>22.241287230000001</v>
      </c>
      <c r="K420">
        <v>16.783092499999999</v>
      </c>
      <c r="N420">
        <v>0</v>
      </c>
      <c r="O420">
        <v>0</v>
      </c>
    </row>
    <row r="421" spans="1:15">
      <c r="A421">
        <v>-1.060003754</v>
      </c>
      <c r="B421">
        <v>0.21160857299999999</v>
      </c>
      <c r="C421">
        <v>-0.53000187700000001</v>
      </c>
      <c r="D421">
        <v>-0.59532048000000004</v>
      </c>
      <c r="E421">
        <v>8</v>
      </c>
      <c r="F421">
        <v>36</v>
      </c>
      <c r="G421">
        <v>12</v>
      </c>
      <c r="H421">
        <v>1</v>
      </c>
      <c r="I421">
        <v>4</v>
      </c>
      <c r="J421">
        <v>41.25615311</v>
      </c>
      <c r="K421">
        <v>13.83997726</v>
      </c>
      <c r="L421">
        <v>13.83997726</v>
      </c>
      <c r="M421">
        <v>2.6275613309999999</v>
      </c>
      <c r="N421">
        <v>1</v>
      </c>
      <c r="O421">
        <v>2.6275613309999999</v>
      </c>
    </row>
    <row r="422" spans="1:15">
      <c r="A422">
        <v>-5.7081185999999999E-2</v>
      </c>
      <c r="B422">
        <v>-8.5405529999999993E-3</v>
      </c>
      <c r="C422">
        <v>-2.8540593E-2</v>
      </c>
      <c r="D422">
        <v>-4.6223887999999998E-2</v>
      </c>
      <c r="E422">
        <v>9</v>
      </c>
      <c r="F422">
        <v>38</v>
      </c>
      <c r="G422">
        <v>16</v>
      </c>
      <c r="H422">
        <v>1</v>
      </c>
      <c r="I422">
        <v>4</v>
      </c>
      <c r="J422">
        <v>51.645313260000002</v>
      </c>
      <c r="K422">
        <v>24.25751305</v>
      </c>
      <c r="L422">
        <v>24.25751305</v>
      </c>
      <c r="M422">
        <v>3.188726425</v>
      </c>
      <c r="N422">
        <v>1</v>
      </c>
      <c r="O422">
        <v>3.188726425</v>
      </c>
    </row>
    <row r="423" spans="1:15">
      <c r="A423">
        <v>1.1713172549999999</v>
      </c>
      <c r="B423">
        <v>1.5720386710000001</v>
      </c>
      <c r="C423">
        <v>0.58565862800000001</v>
      </c>
      <c r="D423">
        <v>1.9410507299999999</v>
      </c>
      <c r="E423">
        <v>0</v>
      </c>
      <c r="F423">
        <v>20</v>
      </c>
      <c r="G423">
        <v>10</v>
      </c>
      <c r="H423">
        <v>1</v>
      </c>
      <c r="I423">
        <v>1</v>
      </c>
      <c r="J423">
        <v>48.792610170000003</v>
      </c>
      <c r="K423">
        <v>22.027902600000001</v>
      </c>
      <c r="L423">
        <v>22.027902600000001</v>
      </c>
      <c r="M423">
        <v>3.0923099519999999</v>
      </c>
      <c r="N423">
        <v>1</v>
      </c>
      <c r="O423">
        <v>3.0923099519999999</v>
      </c>
    </row>
    <row r="424" spans="1:15">
      <c r="A424">
        <v>0.26436636200000002</v>
      </c>
      <c r="B424">
        <v>-0.139489792</v>
      </c>
      <c r="C424">
        <v>0.13218318100000001</v>
      </c>
      <c r="D424">
        <v>8.6856260000000005E-2</v>
      </c>
      <c r="E424">
        <v>1</v>
      </c>
      <c r="F424">
        <v>48</v>
      </c>
      <c r="G424">
        <v>10</v>
      </c>
      <c r="H424">
        <v>0</v>
      </c>
      <c r="I424">
        <v>0</v>
      </c>
      <c r="J424">
        <v>27.742275240000001</v>
      </c>
      <c r="K424">
        <v>22.186197279999998</v>
      </c>
      <c r="N424">
        <v>0</v>
      </c>
      <c r="O424">
        <v>0</v>
      </c>
    </row>
    <row r="425" spans="1:15">
      <c r="A425">
        <v>-1.4398109269999999</v>
      </c>
      <c r="B425">
        <v>-1.6568571400000001</v>
      </c>
      <c r="C425">
        <v>-0.71990546300000002</v>
      </c>
      <c r="D425">
        <v>-2.190199411</v>
      </c>
      <c r="E425">
        <v>2</v>
      </c>
      <c r="F425">
        <v>24</v>
      </c>
      <c r="G425">
        <v>12</v>
      </c>
      <c r="H425">
        <v>1</v>
      </c>
      <c r="I425">
        <v>1</v>
      </c>
      <c r="J425">
        <v>2.317607164</v>
      </c>
      <c r="K425">
        <v>9.1611347199999997</v>
      </c>
      <c r="N425">
        <v>0</v>
      </c>
      <c r="O425">
        <v>0</v>
      </c>
    </row>
    <row r="426" spans="1:15">
      <c r="A426">
        <v>0.741242972</v>
      </c>
      <c r="B426">
        <v>1.3472680930000001</v>
      </c>
      <c r="C426">
        <v>0.370621486</v>
      </c>
      <c r="D426">
        <v>1.478787085</v>
      </c>
      <c r="E426">
        <v>3</v>
      </c>
      <c r="F426">
        <v>26</v>
      </c>
      <c r="G426">
        <v>12</v>
      </c>
      <c r="H426">
        <v>0</v>
      </c>
      <c r="I426">
        <v>2</v>
      </c>
      <c r="J426">
        <v>47.14544678</v>
      </c>
      <c r="K426">
        <v>22.647457119999999</v>
      </c>
      <c r="L426">
        <v>22.647457119999999</v>
      </c>
      <c r="M426">
        <v>3.120047569</v>
      </c>
      <c r="N426">
        <v>1</v>
      </c>
      <c r="O426">
        <v>3.120047569</v>
      </c>
    </row>
    <row r="427" spans="1:15">
      <c r="A427">
        <v>1.8092855510000001</v>
      </c>
      <c r="B427">
        <v>0.27019855999999998</v>
      </c>
      <c r="C427">
        <v>0.90464277599999998</v>
      </c>
      <c r="D427">
        <v>1.4647834150000001</v>
      </c>
      <c r="E427">
        <v>4</v>
      </c>
      <c r="F427">
        <v>34</v>
      </c>
      <c r="G427">
        <v>10</v>
      </c>
      <c r="H427">
        <v>1</v>
      </c>
      <c r="I427">
        <v>0</v>
      </c>
      <c r="J427">
        <v>43.677402499999999</v>
      </c>
      <c r="K427">
        <v>28.655714039999999</v>
      </c>
      <c r="L427">
        <v>28.655714039999999</v>
      </c>
      <c r="M427">
        <v>3.3553528789999998</v>
      </c>
      <c r="N427">
        <v>1</v>
      </c>
      <c r="O427">
        <v>3.3553528789999998</v>
      </c>
    </row>
    <row r="428" spans="1:15">
      <c r="A428">
        <v>-0.30783141800000002</v>
      </c>
      <c r="B428">
        <v>-1.467234731</v>
      </c>
      <c r="C428">
        <v>-0.15391570900000001</v>
      </c>
      <c r="D428">
        <v>-1.2591391300000001</v>
      </c>
      <c r="E428">
        <v>5</v>
      </c>
      <c r="F428">
        <v>33</v>
      </c>
      <c r="G428">
        <v>12</v>
      </c>
      <c r="H428">
        <v>1</v>
      </c>
      <c r="I428">
        <v>1</v>
      </c>
      <c r="J428">
        <v>17.090330120000001</v>
      </c>
      <c r="K428">
        <v>17.753011699999998</v>
      </c>
      <c r="N428">
        <v>0</v>
      </c>
      <c r="O428">
        <v>0</v>
      </c>
    </row>
    <row r="429" spans="1:15">
      <c r="A429">
        <v>-0.118254475</v>
      </c>
      <c r="B429">
        <v>1.997407164</v>
      </c>
      <c r="C429">
        <v>-5.9127236999999999E-2</v>
      </c>
      <c r="D429">
        <v>1.336128626</v>
      </c>
      <c r="E429">
        <v>6</v>
      </c>
      <c r="F429">
        <v>32</v>
      </c>
      <c r="G429">
        <v>10</v>
      </c>
      <c r="H429">
        <v>1</v>
      </c>
      <c r="I429">
        <v>1</v>
      </c>
      <c r="J429">
        <v>46.333541869999998</v>
      </c>
      <c r="K429">
        <v>16.690473560000001</v>
      </c>
      <c r="L429">
        <v>16.690473560000001</v>
      </c>
      <c r="M429">
        <v>2.8148381709999999</v>
      </c>
      <c r="N429">
        <v>1</v>
      </c>
      <c r="O429">
        <v>2.8148381709999999</v>
      </c>
    </row>
    <row r="430" spans="1:15">
      <c r="A430">
        <v>0.76122652700000004</v>
      </c>
      <c r="B430">
        <v>-1.1088828639999999</v>
      </c>
      <c r="C430">
        <v>0.38061326299999998</v>
      </c>
      <c r="D430">
        <v>-0.25244676700000002</v>
      </c>
      <c r="E430">
        <v>7</v>
      </c>
      <c r="F430">
        <v>36</v>
      </c>
      <c r="G430">
        <v>16</v>
      </c>
      <c r="H430">
        <v>1</v>
      </c>
      <c r="I430">
        <v>1</v>
      </c>
      <c r="J430">
        <v>33.370639799999999</v>
      </c>
      <c r="K430">
        <v>28.767358779999999</v>
      </c>
      <c r="L430">
        <v>28.767358779999999</v>
      </c>
      <c r="M430">
        <v>3.3592414860000002</v>
      </c>
      <c r="N430">
        <v>1</v>
      </c>
      <c r="O430">
        <v>3.3592414860000002</v>
      </c>
    </row>
    <row r="431" spans="1:15">
      <c r="A431">
        <v>0.454135964</v>
      </c>
      <c r="B431">
        <v>0.61972574599999997</v>
      </c>
      <c r="C431">
        <v>0.227067982</v>
      </c>
      <c r="D431">
        <v>0.759837663</v>
      </c>
      <c r="E431">
        <v>8</v>
      </c>
      <c r="F431">
        <v>36</v>
      </c>
      <c r="G431">
        <v>16</v>
      </c>
      <c r="H431">
        <v>1</v>
      </c>
      <c r="I431">
        <v>2</v>
      </c>
      <c r="J431">
        <v>50.518051149999998</v>
      </c>
      <c r="K431">
        <v>26.92481613</v>
      </c>
      <c r="L431">
        <v>26.92481613</v>
      </c>
      <c r="M431">
        <v>3.2930483819999998</v>
      </c>
      <c r="N431">
        <v>1</v>
      </c>
      <c r="O431">
        <v>3.2930483819999998</v>
      </c>
    </row>
    <row r="432" spans="1:15">
      <c r="A432">
        <v>-0.81862427900000001</v>
      </c>
      <c r="B432">
        <v>0.18023293300000001</v>
      </c>
      <c r="C432">
        <v>-0.40931213999999999</v>
      </c>
      <c r="D432">
        <v>-0.44781114700000002</v>
      </c>
      <c r="E432">
        <v>9</v>
      </c>
      <c r="F432">
        <v>47</v>
      </c>
      <c r="G432">
        <v>16</v>
      </c>
      <c r="H432">
        <v>1</v>
      </c>
      <c r="I432">
        <v>3</v>
      </c>
      <c r="J432">
        <v>45.426265720000004</v>
      </c>
      <c r="K432">
        <v>21.488254550000001</v>
      </c>
      <c r="L432">
        <v>21.488254550000001</v>
      </c>
      <c r="M432">
        <v>3.0675065520000002</v>
      </c>
      <c r="N432">
        <v>1</v>
      </c>
      <c r="O432">
        <v>3.0675065520000002</v>
      </c>
    </row>
    <row r="433" spans="1:15">
      <c r="A433">
        <v>-0.40280402100000001</v>
      </c>
      <c r="B433">
        <v>0.70833476900000003</v>
      </c>
      <c r="C433">
        <v>-0.20140200999999999</v>
      </c>
      <c r="D433">
        <v>0.21996628600000001</v>
      </c>
      <c r="E433">
        <v>0</v>
      </c>
      <c r="F433">
        <v>24</v>
      </c>
      <c r="G433">
        <v>12</v>
      </c>
      <c r="H433">
        <v>0</v>
      </c>
      <c r="I433">
        <v>0</v>
      </c>
      <c r="J433">
        <v>21.23959541</v>
      </c>
      <c r="K433">
        <v>15.383175850000001</v>
      </c>
      <c r="N433">
        <v>0</v>
      </c>
      <c r="O433">
        <v>0</v>
      </c>
    </row>
    <row r="434" spans="1:15">
      <c r="A434">
        <v>0.97075380499999997</v>
      </c>
      <c r="B434">
        <v>0.30760347399999999</v>
      </c>
      <c r="C434">
        <v>0.485376902</v>
      </c>
      <c r="D434">
        <v>0.90147714300000004</v>
      </c>
      <c r="E434">
        <v>1</v>
      </c>
      <c r="F434">
        <v>28</v>
      </c>
      <c r="G434">
        <v>10</v>
      </c>
      <c r="H434">
        <v>1</v>
      </c>
      <c r="I434">
        <v>0</v>
      </c>
      <c r="J434">
        <v>34.5177269</v>
      </c>
      <c r="K434">
        <v>22.424522400000001</v>
      </c>
      <c r="L434">
        <v>22.424522400000001</v>
      </c>
      <c r="M434">
        <v>3.1101551060000001</v>
      </c>
      <c r="N434">
        <v>1</v>
      </c>
      <c r="O434">
        <v>3.1101551060000001</v>
      </c>
    </row>
    <row r="435" spans="1:15">
      <c r="A435">
        <v>1.616488835</v>
      </c>
      <c r="B435">
        <v>-0.203905477</v>
      </c>
      <c r="C435">
        <v>0.80824441700000005</v>
      </c>
      <c r="D435">
        <v>0.99226704700000001</v>
      </c>
      <c r="E435">
        <v>2</v>
      </c>
      <c r="F435">
        <v>24</v>
      </c>
      <c r="G435">
        <v>16</v>
      </c>
      <c r="H435">
        <v>0</v>
      </c>
      <c r="I435">
        <v>0</v>
      </c>
      <c r="J435">
        <v>33.50720596</v>
      </c>
      <c r="K435">
        <v>31.498933789999999</v>
      </c>
      <c r="L435">
        <v>31.498933789999999</v>
      </c>
      <c r="M435">
        <v>3.4499537939999998</v>
      </c>
      <c r="N435">
        <v>1</v>
      </c>
      <c r="O435">
        <v>3.4499537939999998</v>
      </c>
    </row>
    <row r="436" spans="1:15">
      <c r="A436">
        <v>-0.37766343299999999</v>
      </c>
      <c r="B436">
        <v>-1.8743975939999999</v>
      </c>
      <c r="C436">
        <v>-0.18883171600000001</v>
      </c>
      <c r="D436">
        <v>-1.597585941</v>
      </c>
      <c r="E436">
        <v>3</v>
      </c>
      <c r="F436">
        <v>28</v>
      </c>
      <c r="G436">
        <v>12</v>
      </c>
      <c r="H436">
        <v>1</v>
      </c>
      <c r="I436">
        <v>0</v>
      </c>
      <c r="J436">
        <v>6.0289688110000004</v>
      </c>
      <c r="K436">
        <v>16.334018709999999</v>
      </c>
      <c r="N436">
        <v>0</v>
      </c>
      <c r="O436">
        <v>0</v>
      </c>
    </row>
    <row r="437" spans="1:15">
      <c r="A437">
        <v>-0.78292382000000005</v>
      </c>
      <c r="B437">
        <v>0.38390719699999998</v>
      </c>
      <c r="C437">
        <v>-0.39146191000000002</v>
      </c>
      <c r="D437">
        <v>-0.277969935</v>
      </c>
      <c r="E437">
        <v>4</v>
      </c>
      <c r="F437">
        <v>36</v>
      </c>
      <c r="G437">
        <v>10</v>
      </c>
      <c r="H437">
        <v>0</v>
      </c>
      <c r="I437">
        <v>3</v>
      </c>
      <c r="J437">
        <v>33.564361570000003</v>
      </c>
      <c r="K437">
        <v>13.502456670000001</v>
      </c>
      <c r="L437">
        <v>13.502456670000001</v>
      </c>
      <c r="M437">
        <v>2.602871656</v>
      </c>
      <c r="N437">
        <v>1</v>
      </c>
      <c r="O437">
        <v>2.602871656</v>
      </c>
    </row>
    <row r="438" spans="1:15">
      <c r="A438">
        <v>0.247244777</v>
      </c>
      <c r="B438">
        <v>-0.151486652</v>
      </c>
      <c r="C438">
        <v>0.123622388</v>
      </c>
      <c r="D438">
        <v>6.6286937000000004E-2</v>
      </c>
      <c r="E438">
        <v>5</v>
      </c>
      <c r="F438">
        <v>30</v>
      </c>
      <c r="G438">
        <v>12</v>
      </c>
      <c r="H438">
        <v>0</v>
      </c>
      <c r="I438">
        <v>4</v>
      </c>
      <c r="J438">
        <v>41.795444490000001</v>
      </c>
      <c r="K438">
        <v>20.48346901</v>
      </c>
      <c r="L438">
        <v>20.48346901</v>
      </c>
      <c r="M438">
        <v>3.0196182729999999</v>
      </c>
      <c r="N438">
        <v>1</v>
      </c>
      <c r="O438">
        <v>3.0196182729999999</v>
      </c>
    </row>
    <row r="439" spans="1:15">
      <c r="A439">
        <v>1.533950387</v>
      </c>
      <c r="B439">
        <v>0.98834804499999995</v>
      </c>
      <c r="C439">
        <v>0.76697519300000006</v>
      </c>
      <c r="D439">
        <v>1.781394895</v>
      </c>
      <c r="E439">
        <v>6</v>
      </c>
      <c r="F439">
        <v>37</v>
      </c>
      <c r="G439">
        <v>12</v>
      </c>
      <c r="H439">
        <v>0</v>
      </c>
      <c r="I439">
        <v>3</v>
      </c>
      <c r="J439">
        <v>60.176738739999998</v>
      </c>
      <c r="K439">
        <v>29.603702550000001</v>
      </c>
      <c r="L439">
        <v>29.603702550000001</v>
      </c>
      <c r="M439">
        <v>3.3878993990000001</v>
      </c>
      <c r="N439">
        <v>1</v>
      </c>
      <c r="O439">
        <v>3.3878993990000001</v>
      </c>
    </row>
    <row r="440" spans="1:15">
      <c r="A440">
        <v>-5.5233051999999998E-2</v>
      </c>
      <c r="B440">
        <v>0.49623191</v>
      </c>
      <c r="C440">
        <v>-2.7616525999999999E-2</v>
      </c>
      <c r="D440">
        <v>0.31375744700000002</v>
      </c>
      <c r="E440">
        <v>7</v>
      </c>
      <c r="F440">
        <v>48</v>
      </c>
      <c r="G440">
        <v>20</v>
      </c>
      <c r="H440">
        <v>1</v>
      </c>
      <c r="I440">
        <v>1</v>
      </c>
      <c r="J440">
        <v>47.96508789</v>
      </c>
      <c r="K440">
        <v>30.26860237</v>
      </c>
      <c r="L440">
        <v>30.26860237</v>
      </c>
      <c r="M440">
        <v>3.41011095</v>
      </c>
      <c r="N440">
        <v>1</v>
      </c>
      <c r="O440">
        <v>3.41011095</v>
      </c>
    </row>
    <row r="441" spans="1:15">
      <c r="A441">
        <v>-0.98143546599999998</v>
      </c>
      <c r="B441">
        <v>1.826620092</v>
      </c>
      <c r="C441">
        <v>-0.49071773299999999</v>
      </c>
      <c r="D441">
        <v>0.60754518199999996</v>
      </c>
      <c r="E441">
        <v>8</v>
      </c>
      <c r="F441">
        <v>40</v>
      </c>
      <c r="G441">
        <v>16</v>
      </c>
      <c r="H441">
        <v>1</v>
      </c>
      <c r="I441">
        <v>5</v>
      </c>
      <c r="J441">
        <v>65.290542599999995</v>
      </c>
      <c r="K441">
        <v>19.11138725</v>
      </c>
      <c r="L441">
        <v>19.11138725</v>
      </c>
      <c r="M441">
        <v>2.950284243</v>
      </c>
      <c r="N441">
        <v>1</v>
      </c>
      <c r="O441">
        <v>2.950284243</v>
      </c>
    </row>
    <row r="442" spans="1:15">
      <c r="A442">
        <v>-0.48264495099999999</v>
      </c>
      <c r="B442">
        <v>-1.0365482340000001</v>
      </c>
      <c r="C442">
        <v>-0.24132247600000001</v>
      </c>
      <c r="D442">
        <v>-1.0760787270000001</v>
      </c>
      <c r="E442">
        <v>9</v>
      </c>
      <c r="F442">
        <v>40</v>
      </c>
      <c r="G442">
        <v>12</v>
      </c>
      <c r="H442">
        <v>1</v>
      </c>
      <c r="I442">
        <v>0</v>
      </c>
      <c r="J442">
        <v>17.087055209999999</v>
      </c>
      <c r="K442">
        <v>18.104129790000002</v>
      </c>
      <c r="N442">
        <v>0</v>
      </c>
      <c r="O442">
        <v>0</v>
      </c>
    </row>
    <row r="443" spans="1:15">
      <c r="A443">
        <v>0.28124492000000001</v>
      </c>
      <c r="B443">
        <v>0.56077500199999997</v>
      </c>
      <c r="C443">
        <v>0.14062246</v>
      </c>
      <c r="D443">
        <v>0.59632405300000002</v>
      </c>
      <c r="E443">
        <v>0</v>
      </c>
      <c r="F443">
        <v>22</v>
      </c>
      <c r="G443">
        <v>10</v>
      </c>
      <c r="H443">
        <v>0</v>
      </c>
      <c r="I443">
        <v>3</v>
      </c>
      <c r="J443">
        <v>38.455886839999998</v>
      </c>
      <c r="K443">
        <v>17.0874691</v>
      </c>
      <c r="L443">
        <v>17.0874691</v>
      </c>
      <c r="M443">
        <v>2.8383452889999998</v>
      </c>
      <c r="N443">
        <v>1</v>
      </c>
      <c r="O443">
        <v>2.8383452889999998</v>
      </c>
    </row>
    <row r="444" spans="1:15">
      <c r="A444">
        <v>1.429945815</v>
      </c>
      <c r="B444">
        <v>0.31740619199999998</v>
      </c>
      <c r="C444">
        <v>0.71497290800000002</v>
      </c>
      <c r="D444">
        <v>1.2314724939999999</v>
      </c>
      <c r="E444">
        <v>1</v>
      </c>
      <c r="F444">
        <v>48</v>
      </c>
      <c r="G444">
        <v>10</v>
      </c>
      <c r="H444">
        <v>0</v>
      </c>
      <c r="I444">
        <v>2</v>
      </c>
      <c r="J444">
        <v>51.47766876</v>
      </c>
      <c r="K444">
        <v>29.17967415</v>
      </c>
      <c r="L444">
        <v>29.17967415</v>
      </c>
      <c r="M444">
        <v>3.3734724520000001</v>
      </c>
      <c r="N444">
        <v>1</v>
      </c>
      <c r="O444">
        <v>3.3734724520000001</v>
      </c>
    </row>
    <row r="445" spans="1:15">
      <c r="A445">
        <v>0.40977675200000002</v>
      </c>
      <c r="B445">
        <v>1.8727298729999999</v>
      </c>
      <c r="C445">
        <v>0.20488837600000001</v>
      </c>
      <c r="D445">
        <v>1.6189917840000001</v>
      </c>
      <c r="E445">
        <v>2</v>
      </c>
      <c r="F445">
        <v>28</v>
      </c>
      <c r="G445">
        <v>10</v>
      </c>
      <c r="H445">
        <v>0</v>
      </c>
      <c r="I445">
        <v>3</v>
      </c>
      <c r="J445">
        <v>53.127902980000002</v>
      </c>
      <c r="K445">
        <v>19.058660509999999</v>
      </c>
      <c r="L445">
        <v>19.058660509999999</v>
      </c>
      <c r="M445">
        <v>2.9475216870000001</v>
      </c>
      <c r="N445">
        <v>1</v>
      </c>
      <c r="O445">
        <v>2.9475216870000001</v>
      </c>
    </row>
    <row r="446" spans="1:15">
      <c r="A446">
        <v>0.73423604099999995</v>
      </c>
      <c r="B446">
        <v>-0.489689135</v>
      </c>
      <c r="C446">
        <v>0.36711802100000002</v>
      </c>
      <c r="D446">
        <v>0.168552808</v>
      </c>
      <c r="E446">
        <v>3</v>
      </c>
      <c r="F446">
        <v>33</v>
      </c>
      <c r="G446">
        <v>16</v>
      </c>
      <c r="H446">
        <v>1</v>
      </c>
      <c r="I446">
        <v>0</v>
      </c>
      <c r="J446">
        <v>32.222633360000003</v>
      </c>
      <c r="K446">
        <v>28.005416870000001</v>
      </c>
      <c r="L446">
        <v>28.005416870000001</v>
      </c>
      <c r="M446">
        <v>3.3323979380000002</v>
      </c>
      <c r="N446">
        <v>1</v>
      </c>
      <c r="O446">
        <v>3.3323979380000002</v>
      </c>
    </row>
    <row r="447" spans="1:15">
      <c r="A447">
        <v>-0.39383639100000001</v>
      </c>
      <c r="B447">
        <v>2.2540970520000001</v>
      </c>
      <c r="C447">
        <v>-0.19691819599999999</v>
      </c>
      <c r="D447">
        <v>1.324662558</v>
      </c>
      <c r="E447">
        <v>4</v>
      </c>
      <c r="F447">
        <v>41</v>
      </c>
      <c r="G447">
        <v>16</v>
      </c>
      <c r="H447">
        <v>0</v>
      </c>
      <c r="I447">
        <v>2</v>
      </c>
      <c r="J447">
        <v>54.295951840000001</v>
      </c>
      <c r="K447">
        <v>22.836980820000001</v>
      </c>
      <c r="L447">
        <v>22.836980820000001</v>
      </c>
      <c r="M447">
        <v>3.1283812520000001</v>
      </c>
      <c r="N447">
        <v>1</v>
      </c>
      <c r="O447">
        <v>3.1283812520000001</v>
      </c>
    </row>
    <row r="448" spans="1:15">
      <c r="A448">
        <v>-2.9012285879999999</v>
      </c>
      <c r="B448">
        <v>0.341170058</v>
      </c>
      <c r="C448">
        <v>-1.450614294</v>
      </c>
      <c r="D448">
        <v>-1.798510861</v>
      </c>
      <c r="E448">
        <v>5</v>
      </c>
      <c r="F448">
        <v>31</v>
      </c>
      <c r="G448">
        <v>12</v>
      </c>
      <c r="H448">
        <v>1</v>
      </c>
      <c r="I448">
        <v>1</v>
      </c>
      <c r="J448">
        <v>9.8178701400000001</v>
      </c>
      <c r="K448">
        <v>1.792628527</v>
      </c>
      <c r="N448">
        <v>0</v>
      </c>
      <c r="O448">
        <v>0</v>
      </c>
    </row>
    <row r="449" spans="1:15">
      <c r="A449">
        <v>-1.9758012469999999</v>
      </c>
      <c r="B449">
        <v>0.632949714</v>
      </c>
      <c r="C449">
        <v>-0.987900624</v>
      </c>
      <c r="D449">
        <v>-0.94016380499999996</v>
      </c>
      <c r="E449">
        <v>6</v>
      </c>
      <c r="F449">
        <v>35</v>
      </c>
      <c r="G449">
        <v>16</v>
      </c>
      <c r="H449">
        <v>1</v>
      </c>
      <c r="I449">
        <v>1</v>
      </c>
      <c r="J449">
        <v>24.71803474</v>
      </c>
      <c r="K449">
        <v>12.14519215</v>
      </c>
      <c r="N449">
        <v>0</v>
      </c>
      <c r="O449">
        <v>0</v>
      </c>
    </row>
    <row r="450" spans="1:15">
      <c r="A450">
        <v>3.1795173000000003E-2</v>
      </c>
      <c r="B450">
        <v>0.23534303000000001</v>
      </c>
      <c r="C450">
        <v>1.5897585999999998E-2</v>
      </c>
      <c r="D450">
        <v>0.189597136</v>
      </c>
      <c r="E450">
        <v>7</v>
      </c>
      <c r="F450">
        <v>43</v>
      </c>
      <c r="G450">
        <v>10</v>
      </c>
      <c r="H450">
        <v>1</v>
      </c>
      <c r="I450">
        <v>3</v>
      </c>
      <c r="J450">
        <v>46.97516632</v>
      </c>
      <c r="K450">
        <v>19.79077148</v>
      </c>
      <c r="L450">
        <v>19.79077148</v>
      </c>
      <c r="M450">
        <v>2.985215664</v>
      </c>
      <c r="N450">
        <v>1</v>
      </c>
      <c r="O450">
        <v>2.985215664</v>
      </c>
    </row>
    <row r="451" spans="1:15">
      <c r="A451">
        <v>0.53931115399999996</v>
      </c>
      <c r="B451">
        <v>0.441512346</v>
      </c>
      <c r="C451">
        <v>0.26965557699999998</v>
      </c>
      <c r="D451">
        <v>0.69312133300000001</v>
      </c>
      <c r="E451">
        <v>8</v>
      </c>
      <c r="F451">
        <v>40</v>
      </c>
      <c r="G451">
        <v>16</v>
      </c>
      <c r="H451">
        <v>1</v>
      </c>
      <c r="I451">
        <v>5</v>
      </c>
      <c r="J451">
        <v>66.317459110000001</v>
      </c>
      <c r="K451">
        <v>28.235866550000001</v>
      </c>
      <c r="L451">
        <v>28.235866550000001</v>
      </c>
      <c r="M451">
        <v>3.3405931</v>
      </c>
      <c r="N451">
        <v>1</v>
      </c>
      <c r="O451">
        <v>3.3405931</v>
      </c>
    </row>
    <row r="452" spans="1:15">
      <c r="A452">
        <v>-1.239014445</v>
      </c>
      <c r="B452">
        <v>-1.555720631</v>
      </c>
      <c r="C452">
        <v>-0.61950722199999997</v>
      </c>
      <c r="D452">
        <v>-1.9770786840000001</v>
      </c>
      <c r="E452">
        <v>9</v>
      </c>
      <c r="F452">
        <v>39</v>
      </c>
      <c r="G452">
        <v>20</v>
      </c>
      <c r="H452">
        <v>1</v>
      </c>
      <c r="I452">
        <v>2</v>
      </c>
      <c r="J452">
        <v>21.87505531</v>
      </c>
      <c r="K452">
        <v>21.365913389999999</v>
      </c>
      <c r="N452">
        <v>0</v>
      </c>
      <c r="O452">
        <v>0</v>
      </c>
    </row>
    <row r="453" spans="1:15">
      <c r="A453">
        <v>-1.957992666</v>
      </c>
      <c r="B453">
        <v>-0.16912599</v>
      </c>
      <c r="C453">
        <v>-0.978996333</v>
      </c>
      <c r="D453">
        <v>-1.4975748870000001</v>
      </c>
      <c r="E453">
        <v>0</v>
      </c>
      <c r="F453">
        <v>44</v>
      </c>
      <c r="G453">
        <v>10</v>
      </c>
      <c r="H453">
        <v>0</v>
      </c>
      <c r="I453">
        <v>1</v>
      </c>
      <c r="J453">
        <v>12.12910175</v>
      </c>
      <c r="K453">
        <v>8.0520439150000005</v>
      </c>
      <c r="N453">
        <v>0</v>
      </c>
      <c r="O453">
        <v>0</v>
      </c>
    </row>
    <row r="454" spans="1:15">
      <c r="A454">
        <v>-1.509523516</v>
      </c>
      <c r="B454">
        <v>-0.62933812200000006</v>
      </c>
      <c r="C454">
        <v>-0.754761758</v>
      </c>
      <c r="D454">
        <v>-1.5091059469999999</v>
      </c>
      <c r="E454">
        <v>1</v>
      </c>
      <c r="F454">
        <v>43</v>
      </c>
      <c r="G454">
        <v>10</v>
      </c>
      <c r="H454">
        <v>1</v>
      </c>
      <c r="I454">
        <v>1</v>
      </c>
      <c r="J454">
        <v>16.590728760000001</v>
      </c>
      <c r="K454">
        <v>10.542859079999999</v>
      </c>
      <c r="N454">
        <v>0</v>
      </c>
      <c r="O454">
        <v>0</v>
      </c>
    </row>
    <row r="455" spans="1:15">
      <c r="A455">
        <v>0.328683999</v>
      </c>
      <c r="B455">
        <v>0.47072069900000002</v>
      </c>
      <c r="C455">
        <v>0.16434199999999999</v>
      </c>
      <c r="D455">
        <v>0.56570543399999995</v>
      </c>
      <c r="E455">
        <v>2</v>
      </c>
      <c r="F455">
        <v>33</v>
      </c>
      <c r="G455">
        <v>12</v>
      </c>
      <c r="H455">
        <v>0</v>
      </c>
      <c r="I455">
        <v>0</v>
      </c>
      <c r="J455">
        <v>28.988464359999998</v>
      </c>
      <c r="K455">
        <v>21.572103500000001</v>
      </c>
      <c r="N455">
        <v>0</v>
      </c>
      <c r="O455">
        <v>0</v>
      </c>
    </row>
    <row r="456" spans="1:15">
      <c r="A456">
        <v>1.36684698</v>
      </c>
      <c r="B456">
        <v>-1.5888595670000001</v>
      </c>
      <c r="C456">
        <v>0.68342349000000002</v>
      </c>
      <c r="D456">
        <v>-0.16747024699999999</v>
      </c>
      <c r="E456">
        <v>3</v>
      </c>
      <c r="F456">
        <v>30</v>
      </c>
      <c r="G456">
        <v>12</v>
      </c>
      <c r="H456">
        <v>0</v>
      </c>
      <c r="I456">
        <v>3</v>
      </c>
      <c r="J456">
        <v>33.99035645</v>
      </c>
      <c r="K456">
        <v>27.201082230000001</v>
      </c>
      <c r="L456">
        <v>27.201082230000001</v>
      </c>
      <c r="M456">
        <v>3.3032567500000001</v>
      </c>
      <c r="N456">
        <v>1</v>
      </c>
      <c r="O456">
        <v>3.3032567500000001</v>
      </c>
    </row>
    <row r="457" spans="1:15">
      <c r="A457">
        <v>-1.65678714</v>
      </c>
      <c r="B457">
        <v>0.51141751199999996</v>
      </c>
      <c r="C457">
        <v>-0.82839357000000002</v>
      </c>
      <c r="D457">
        <v>-0.80210396100000003</v>
      </c>
      <c r="E457">
        <v>4</v>
      </c>
      <c r="F457">
        <v>41</v>
      </c>
      <c r="G457">
        <v>12</v>
      </c>
      <c r="H457">
        <v>1</v>
      </c>
      <c r="I457">
        <v>4</v>
      </c>
      <c r="J457">
        <v>40.774753570000001</v>
      </c>
      <c r="K457">
        <v>11.259277340000001</v>
      </c>
      <c r="L457">
        <v>11.259277340000001</v>
      </c>
      <c r="M457">
        <v>2.421192408</v>
      </c>
      <c r="N457">
        <v>1</v>
      </c>
      <c r="O457">
        <v>2.421192408</v>
      </c>
    </row>
    <row r="458" spans="1:15">
      <c r="A458">
        <v>-0.82326308299999995</v>
      </c>
      <c r="B458">
        <v>0.39582467599999999</v>
      </c>
      <c r="C458">
        <v>-0.41163154099999999</v>
      </c>
      <c r="D458">
        <v>-0.29787924399999999</v>
      </c>
      <c r="E458">
        <v>5</v>
      </c>
      <c r="F458">
        <v>38</v>
      </c>
      <c r="G458">
        <v>12</v>
      </c>
      <c r="H458">
        <v>1</v>
      </c>
      <c r="I458">
        <v>0</v>
      </c>
      <c r="J458">
        <v>25.62544823</v>
      </c>
      <c r="K458">
        <v>15.66042137</v>
      </c>
      <c r="N458">
        <v>0</v>
      </c>
      <c r="O458">
        <v>0</v>
      </c>
    </row>
    <row r="459" spans="1:15">
      <c r="A459">
        <v>-0.38280319600000001</v>
      </c>
      <c r="B459">
        <v>-2.2728426150000001</v>
      </c>
      <c r="C459">
        <v>-0.19140159800000001</v>
      </c>
      <c r="D459">
        <v>-1.884328698</v>
      </c>
      <c r="E459">
        <v>6</v>
      </c>
      <c r="F459">
        <v>33</v>
      </c>
      <c r="G459">
        <v>16</v>
      </c>
      <c r="H459">
        <v>1</v>
      </c>
      <c r="I459">
        <v>0</v>
      </c>
      <c r="J459">
        <v>7.5880556109999997</v>
      </c>
      <c r="K459">
        <v>21.303180690000001</v>
      </c>
      <c r="N459">
        <v>0</v>
      </c>
      <c r="O459">
        <v>0</v>
      </c>
    </row>
    <row r="460" spans="1:15">
      <c r="A460">
        <v>-1.5847864220000001</v>
      </c>
      <c r="B460">
        <v>0.53657443999999999</v>
      </c>
      <c r="C460">
        <v>-0.79239321100000004</v>
      </c>
      <c r="D460">
        <v>-0.73357730300000001</v>
      </c>
      <c r="E460">
        <v>7</v>
      </c>
      <c r="F460">
        <v>44</v>
      </c>
      <c r="G460">
        <v>10</v>
      </c>
      <c r="H460">
        <v>1</v>
      </c>
      <c r="I460">
        <v>5</v>
      </c>
      <c r="J460">
        <v>46.297073359999999</v>
      </c>
      <c r="K460">
        <v>10.291281700000001</v>
      </c>
      <c r="L460">
        <v>10.291281700000001</v>
      </c>
      <c r="M460">
        <v>2.331297159</v>
      </c>
      <c r="N460">
        <v>1</v>
      </c>
      <c r="O460">
        <v>2.331297159</v>
      </c>
    </row>
    <row r="461" spans="1:15">
      <c r="A461">
        <v>0.69482994899999995</v>
      </c>
      <c r="B461">
        <v>-0.38623125800000002</v>
      </c>
      <c r="C461">
        <v>0.34741497399999999</v>
      </c>
      <c r="D461">
        <v>0.21434673800000001</v>
      </c>
      <c r="E461">
        <v>8</v>
      </c>
      <c r="F461">
        <v>50</v>
      </c>
      <c r="G461">
        <v>20</v>
      </c>
      <c r="H461">
        <v>1</v>
      </c>
      <c r="I461">
        <v>3</v>
      </c>
      <c r="J461">
        <v>57.572162630000001</v>
      </c>
      <c r="K461">
        <v>35.168979640000003</v>
      </c>
      <c r="L461">
        <v>35.168979640000003</v>
      </c>
      <c r="M461">
        <v>3.560164452</v>
      </c>
      <c r="N461">
        <v>1</v>
      </c>
      <c r="O461">
        <v>3.560164452</v>
      </c>
    </row>
    <row r="462" spans="1:15">
      <c r="A462">
        <v>-1.6945731509999999</v>
      </c>
      <c r="B462">
        <v>-0.32694967800000002</v>
      </c>
      <c r="C462">
        <v>-0.84728657600000001</v>
      </c>
      <c r="D462">
        <v>-1.42441241</v>
      </c>
      <c r="E462">
        <v>9</v>
      </c>
      <c r="F462">
        <v>40</v>
      </c>
      <c r="G462">
        <v>16</v>
      </c>
      <c r="H462">
        <v>1</v>
      </c>
      <c r="I462">
        <v>1</v>
      </c>
      <c r="J462">
        <v>20.90705109</v>
      </c>
      <c r="K462">
        <v>14.83256149</v>
      </c>
      <c r="N462">
        <v>0</v>
      </c>
      <c r="O462">
        <v>0</v>
      </c>
    </row>
    <row r="463" spans="1:15">
      <c r="A463">
        <v>-0.96621128599999995</v>
      </c>
      <c r="B463">
        <v>-0.52907650299999998</v>
      </c>
      <c r="C463">
        <v>-0.48310564299999997</v>
      </c>
      <c r="D463">
        <v>-1.0556559050000001</v>
      </c>
      <c r="E463">
        <v>0</v>
      </c>
      <c r="F463">
        <v>39</v>
      </c>
      <c r="G463">
        <v>10</v>
      </c>
      <c r="H463">
        <v>0</v>
      </c>
      <c r="I463">
        <v>1</v>
      </c>
      <c r="J463">
        <v>15.432128909999999</v>
      </c>
      <c r="K463">
        <v>13.00273228</v>
      </c>
      <c r="N463">
        <v>0</v>
      </c>
      <c r="O463">
        <v>0</v>
      </c>
    </row>
    <row r="464" spans="1:15">
      <c r="A464">
        <v>-0.448925348</v>
      </c>
      <c r="B464">
        <v>-0.80864153900000002</v>
      </c>
      <c r="C464">
        <v>-0.224462674</v>
      </c>
      <c r="D464">
        <v>-0.89041191500000005</v>
      </c>
      <c r="E464">
        <v>1</v>
      </c>
      <c r="F464">
        <v>45</v>
      </c>
      <c r="G464">
        <v>10</v>
      </c>
      <c r="H464">
        <v>0</v>
      </c>
      <c r="I464">
        <v>3</v>
      </c>
      <c r="J464">
        <v>29.815057750000001</v>
      </c>
      <c r="K464">
        <v>17.306447980000002</v>
      </c>
      <c r="L464">
        <v>17.306447980000002</v>
      </c>
      <c r="M464">
        <v>2.851079226</v>
      </c>
      <c r="N464">
        <v>1</v>
      </c>
      <c r="O464">
        <v>2.851079226</v>
      </c>
    </row>
    <row r="465" spans="1:15">
      <c r="A465">
        <v>-0.155031208</v>
      </c>
      <c r="B465">
        <v>0.27694317699999998</v>
      </c>
      <c r="C465">
        <v>-7.7515604000000002E-2</v>
      </c>
      <c r="D465">
        <v>8.7729827999999996E-2</v>
      </c>
      <c r="E465">
        <v>2</v>
      </c>
      <c r="F465">
        <v>39</v>
      </c>
      <c r="G465">
        <v>10</v>
      </c>
      <c r="H465">
        <v>1</v>
      </c>
      <c r="I465">
        <v>2</v>
      </c>
      <c r="J465">
        <v>39.152759549999999</v>
      </c>
      <c r="K465">
        <v>17.86981201</v>
      </c>
      <c r="L465">
        <v>17.86981201</v>
      </c>
      <c r="M465">
        <v>2.8831129070000001</v>
      </c>
      <c r="N465">
        <v>1</v>
      </c>
      <c r="O465">
        <v>2.8831129070000001</v>
      </c>
    </row>
    <row r="466" spans="1:15">
      <c r="A466">
        <v>-0.490897994</v>
      </c>
      <c r="B466">
        <v>-1.5636653540000001</v>
      </c>
      <c r="C466">
        <v>-0.245448997</v>
      </c>
      <c r="D466">
        <v>-1.456443417</v>
      </c>
      <c r="E466">
        <v>3</v>
      </c>
      <c r="F466">
        <v>29</v>
      </c>
      <c r="G466">
        <v>12</v>
      </c>
      <c r="H466">
        <v>0</v>
      </c>
      <c r="I466">
        <v>3</v>
      </c>
      <c r="J466">
        <v>18.122678759999999</v>
      </c>
      <c r="K466">
        <v>15.85461235</v>
      </c>
      <c r="N466">
        <v>0</v>
      </c>
      <c r="O466">
        <v>0</v>
      </c>
    </row>
    <row r="467" spans="1:15">
      <c r="A467">
        <v>-0.52162529899999999</v>
      </c>
      <c r="B467">
        <v>2.14248116</v>
      </c>
      <c r="C467">
        <v>-0.26081264999999998</v>
      </c>
      <c r="D467">
        <v>1.155454336</v>
      </c>
      <c r="E467">
        <v>4</v>
      </c>
      <c r="F467">
        <v>42</v>
      </c>
      <c r="G467">
        <v>10</v>
      </c>
      <c r="H467">
        <v>1</v>
      </c>
      <c r="I467">
        <v>1</v>
      </c>
      <c r="J467">
        <v>48.165451050000001</v>
      </c>
      <c r="K467">
        <v>16.270248410000001</v>
      </c>
      <c r="L467">
        <v>16.270248410000001</v>
      </c>
      <c r="M467">
        <v>2.7893381119999998</v>
      </c>
      <c r="N467">
        <v>1</v>
      </c>
      <c r="O467">
        <v>2.7893381119999998</v>
      </c>
    </row>
    <row r="468" spans="1:15">
      <c r="A468">
        <v>1.492626784</v>
      </c>
      <c r="B468">
        <v>0.40426993300000003</v>
      </c>
      <c r="C468">
        <v>0.74631339200000002</v>
      </c>
      <c r="D468">
        <v>1.3372905770000001</v>
      </c>
      <c r="E468">
        <v>5</v>
      </c>
      <c r="F468">
        <v>41</v>
      </c>
      <c r="G468">
        <v>12</v>
      </c>
      <c r="H468">
        <v>0</v>
      </c>
      <c r="I468">
        <v>1</v>
      </c>
      <c r="J468">
        <v>46.44748688</v>
      </c>
      <c r="K468">
        <v>30.155759809999999</v>
      </c>
      <c r="L468">
        <v>30.155759809999999</v>
      </c>
      <c r="M468">
        <v>3.4063758850000001</v>
      </c>
      <c r="N468">
        <v>1</v>
      </c>
      <c r="O468">
        <v>3.4063758850000001</v>
      </c>
    </row>
    <row r="469" spans="1:15">
      <c r="A469">
        <v>-0.73703695400000002</v>
      </c>
      <c r="B469">
        <v>0.14969173799999999</v>
      </c>
      <c r="C469">
        <v>-0.36851847700000001</v>
      </c>
      <c r="D469">
        <v>-0.41211853100000001</v>
      </c>
      <c r="E469">
        <v>6</v>
      </c>
      <c r="F469">
        <v>38</v>
      </c>
      <c r="G469">
        <v>16</v>
      </c>
      <c r="H469">
        <v>1</v>
      </c>
      <c r="I469">
        <v>1</v>
      </c>
      <c r="J469">
        <v>32.254577640000001</v>
      </c>
      <c r="K469">
        <v>20.177778239999999</v>
      </c>
      <c r="L469">
        <v>20.177778239999999</v>
      </c>
      <c r="M469">
        <v>3.0045819279999999</v>
      </c>
      <c r="N469">
        <v>1</v>
      </c>
      <c r="O469">
        <v>3.0045819279999999</v>
      </c>
    </row>
    <row r="470" spans="1:15">
      <c r="A470">
        <v>1.276734255</v>
      </c>
      <c r="B470">
        <v>0.46198478900000001</v>
      </c>
      <c r="C470">
        <v>0.63836712799999995</v>
      </c>
      <c r="D470">
        <v>1.2264267740000001</v>
      </c>
      <c r="E470">
        <v>7</v>
      </c>
      <c r="F470">
        <v>47</v>
      </c>
      <c r="G470">
        <v>10</v>
      </c>
      <c r="H470">
        <v>1</v>
      </c>
      <c r="I470">
        <v>0</v>
      </c>
      <c r="J470">
        <v>46.01712036</v>
      </c>
      <c r="K470">
        <v>28.060405729999999</v>
      </c>
      <c r="L470">
        <v>28.060405729999999</v>
      </c>
      <c r="M470">
        <v>3.3343596459999998</v>
      </c>
      <c r="N470">
        <v>1</v>
      </c>
      <c r="O470">
        <v>3.3343596459999998</v>
      </c>
    </row>
    <row r="471" spans="1:15">
      <c r="A471">
        <v>-0.30186466099999998</v>
      </c>
      <c r="B471">
        <v>-0.85070293200000002</v>
      </c>
      <c r="C471">
        <v>-0.150932331</v>
      </c>
      <c r="D471">
        <v>-0.81684650000000003</v>
      </c>
      <c r="E471">
        <v>8</v>
      </c>
      <c r="F471">
        <v>52</v>
      </c>
      <c r="G471">
        <v>12</v>
      </c>
      <c r="H471">
        <v>1</v>
      </c>
      <c r="I471">
        <v>1</v>
      </c>
      <c r="J471">
        <v>29.99784279</v>
      </c>
      <c r="K471">
        <v>21.588811870000001</v>
      </c>
      <c r="L471">
        <v>21.588811870000001</v>
      </c>
      <c r="M471">
        <v>3.0721752640000002</v>
      </c>
      <c r="N471">
        <v>1</v>
      </c>
      <c r="O471">
        <v>3.0721752640000002</v>
      </c>
    </row>
    <row r="472" spans="1:15">
      <c r="A472">
        <v>0.39148529100000001</v>
      </c>
      <c r="B472">
        <v>0.40851183099999999</v>
      </c>
      <c r="C472">
        <v>0.19574264499999999</v>
      </c>
      <c r="D472">
        <v>0.56568014499999997</v>
      </c>
      <c r="E472">
        <v>9</v>
      </c>
      <c r="F472">
        <v>47</v>
      </c>
      <c r="G472">
        <v>12</v>
      </c>
      <c r="H472">
        <v>1</v>
      </c>
      <c r="I472">
        <v>2</v>
      </c>
      <c r="J472">
        <v>49.588161470000003</v>
      </c>
      <c r="K472">
        <v>24.748910899999998</v>
      </c>
      <c r="L472">
        <v>24.748910899999998</v>
      </c>
      <c r="M472">
        <v>3.2087814809999999</v>
      </c>
      <c r="N472">
        <v>1</v>
      </c>
      <c r="O472">
        <v>3.2087814809999999</v>
      </c>
    </row>
    <row r="473" spans="1:15">
      <c r="A473">
        <v>0.17332863700000001</v>
      </c>
      <c r="B473">
        <v>0.417899354</v>
      </c>
      <c r="C473">
        <v>8.6664318000000004E-2</v>
      </c>
      <c r="D473">
        <v>0.41888315100000001</v>
      </c>
      <c r="E473">
        <v>0</v>
      </c>
      <c r="F473">
        <v>35</v>
      </c>
      <c r="G473">
        <v>10</v>
      </c>
      <c r="H473">
        <v>1</v>
      </c>
      <c r="I473">
        <v>2</v>
      </c>
      <c r="J473">
        <v>41.526596069999997</v>
      </c>
      <c r="K473">
        <v>19.03997231</v>
      </c>
      <c r="L473">
        <v>19.03997231</v>
      </c>
      <c r="M473">
        <v>2.946540594</v>
      </c>
      <c r="N473">
        <v>1</v>
      </c>
      <c r="O473">
        <v>2.946540594</v>
      </c>
    </row>
    <row r="474" spans="1:15">
      <c r="A474">
        <v>0.65358451799999995</v>
      </c>
      <c r="B474">
        <v>-1.5033689910000001</v>
      </c>
      <c r="C474">
        <v>0.32679225899999997</v>
      </c>
      <c r="D474">
        <v>-0.60848409800000003</v>
      </c>
      <c r="E474">
        <v>1</v>
      </c>
      <c r="F474">
        <v>43</v>
      </c>
      <c r="G474">
        <v>16</v>
      </c>
      <c r="H474">
        <v>0</v>
      </c>
      <c r="I474">
        <v>2</v>
      </c>
      <c r="J474">
        <v>31.898191449999999</v>
      </c>
      <c r="K474">
        <v>29.52150726</v>
      </c>
      <c r="L474">
        <v>29.52150726</v>
      </c>
      <c r="M474">
        <v>3.3851189609999999</v>
      </c>
      <c r="N474">
        <v>1</v>
      </c>
      <c r="O474">
        <v>3.3851189609999999</v>
      </c>
    </row>
    <row r="475" spans="1:15">
      <c r="A475">
        <v>-1.1799307459999999</v>
      </c>
      <c r="B475">
        <v>-2.526782281</v>
      </c>
      <c r="C475">
        <v>-0.58996537299999996</v>
      </c>
      <c r="D475">
        <v>-2.62553182</v>
      </c>
      <c r="E475">
        <v>2</v>
      </c>
      <c r="F475">
        <v>25</v>
      </c>
      <c r="G475">
        <v>16</v>
      </c>
      <c r="H475">
        <v>0</v>
      </c>
      <c r="I475">
        <v>2</v>
      </c>
      <c r="J475">
        <v>0.49361815999999997</v>
      </c>
      <c r="K475">
        <v>14.92041588</v>
      </c>
      <c r="N475">
        <v>0</v>
      </c>
      <c r="O475">
        <v>0</v>
      </c>
    </row>
    <row r="476" spans="1:15">
      <c r="A476">
        <v>0.22095861999999999</v>
      </c>
      <c r="B476">
        <v>-1.9017302389999999</v>
      </c>
      <c r="C476">
        <v>0.11047931</v>
      </c>
      <c r="D476">
        <v>-1.195892798</v>
      </c>
      <c r="E476">
        <v>3</v>
      </c>
      <c r="F476">
        <v>26</v>
      </c>
      <c r="G476">
        <v>10</v>
      </c>
      <c r="H476">
        <v>1</v>
      </c>
      <c r="I476">
        <v>4</v>
      </c>
      <c r="J476">
        <v>28.54928589</v>
      </c>
      <c r="K476">
        <v>17.525751110000002</v>
      </c>
      <c r="N476">
        <v>0</v>
      </c>
      <c r="O476">
        <v>0</v>
      </c>
    </row>
    <row r="477" spans="1:15">
      <c r="A477">
        <v>-1.4430650620000001</v>
      </c>
      <c r="B477">
        <v>-0.55482751699999999</v>
      </c>
      <c r="C477">
        <v>-0.72153253100000003</v>
      </c>
      <c r="D477">
        <v>-1.4094083930000001</v>
      </c>
      <c r="E477">
        <v>4</v>
      </c>
      <c r="F477">
        <v>48</v>
      </c>
      <c r="G477">
        <v>20</v>
      </c>
      <c r="H477">
        <v>1</v>
      </c>
      <c r="I477">
        <v>0</v>
      </c>
      <c r="J477">
        <v>22.28709984</v>
      </c>
      <c r="K477">
        <v>21.94161034</v>
      </c>
      <c r="N477">
        <v>0</v>
      </c>
      <c r="O477">
        <v>0</v>
      </c>
    </row>
    <row r="478" spans="1:15">
      <c r="A478">
        <v>0.93699309799999997</v>
      </c>
      <c r="B478">
        <v>-1.306366921</v>
      </c>
      <c r="C478">
        <v>0.46849654899999998</v>
      </c>
      <c r="D478">
        <v>-0.26912774</v>
      </c>
      <c r="E478">
        <v>5</v>
      </c>
      <c r="F478">
        <v>30</v>
      </c>
      <c r="G478">
        <v>12</v>
      </c>
      <c r="H478">
        <v>1</v>
      </c>
      <c r="I478">
        <v>1</v>
      </c>
      <c r="J478">
        <v>27.770467759999999</v>
      </c>
      <c r="K478">
        <v>24.621957779999999</v>
      </c>
      <c r="N478">
        <v>0</v>
      </c>
      <c r="O478">
        <v>0</v>
      </c>
    </row>
    <row r="479" spans="1:15">
      <c r="A479">
        <v>-2.286107313</v>
      </c>
      <c r="B479">
        <v>-0.77532829299999995</v>
      </c>
      <c r="C479">
        <v>-1.143053656</v>
      </c>
      <c r="D479">
        <v>-2.1591503159999998</v>
      </c>
      <c r="E479">
        <v>6</v>
      </c>
      <c r="F479">
        <v>34</v>
      </c>
      <c r="G479">
        <v>12</v>
      </c>
      <c r="H479">
        <v>1</v>
      </c>
      <c r="I479">
        <v>3</v>
      </c>
      <c r="J479">
        <v>16.69019699</v>
      </c>
      <c r="K479">
        <v>6.0833559040000003</v>
      </c>
      <c r="N479">
        <v>0</v>
      </c>
      <c r="O479">
        <v>0</v>
      </c>
    </row>
    <row r="480" spans="1:15">
      <c r="A480">
        <v>-1.403368181</v>
      </c>
      <c r="B480">
        <v>-1.8877634539999999</v>
      </c>
      <c r="C480">
        <v>-0.70168408999999998</v>
      </c>
      <c r="D480">
        <v>-2.328640289</v>
      </c>
      <c r="E480">
        <v>7</v>
      </c>
      <c r="F480">
        <v>36</v>
      </c>
      <c r="G480">
        <v>20</v>
      </c>
      <c r="H480">
        <v>1</v>
      </c>
      <c r="I480">
        <v>0</v>
      </c>
      <c r="J480">
        <v>6.4563164710000001</v>
      </c>
      <c r="K480">
        <v>19.77979088</v>
      </c>
      <c r="N480">
        <v>0</v>
      </c>
      <c r="O480">
        <v>0</v>
      </c>
    </row>
    <row r="481" spans="1:15">
      <c r="A481">
        <v>-0.50365673899999996</v>
      </c>
      <c r="B481">
        <v>-0.66797223800000005</v>
      </c>
      <c r="C481">
        <v>-0.251828369</v>
      </c>
      <c r="D481">
        <v>-0.82895724299999995</v>
      </c>
      <c r="E481">
        <v>8</v>
      </c>
      <c r="F481">
        <v>47</v>
      </c>
      <c r="G481">
        <v>12</v>
      </c>
      <c r="H481">
        <v>1</v>
      </c>
      <c r="I481">
        <v>4</v>
      </c>
      <c r="J481">
        <v>42.852512359999999</v>
      </c>
      <c r="K481">
        <v>19.378059390000001</v>
      </c>
      <c r="L481">
        <v>19.378059390000001</v>
      </c>
      <c r="M481">
        <v>2.964141369</v>
      </c>
      <c r="N481">
        <v>1</v>
      </c>
      <c r="O481">
        <v>2.964141369</v>
      </c>
    </row>
    <row r="482" spans="1:15">
      <c r="A482">
        <v>-0.49621364400000001</v>
      </c>
      <c r="B482">
        <v>-0.40421437999999998</v>
      </c>
      <c r="C482">
        <v>-0.248106822</v>
      </c>
      <c r="D482">
        <v>-0.63630015699999998</v>
      </c>
      <c r="E482">
        <v>9</v>
      </c>
      <c r="F482">
        <v>38</v>
      </c>
      <c r="G482">
        <v>12</v>
      </c>
      <c r="H482">
        <v>1</v>
      </c>
      <c r="I482">
        <v>0</v>
      </c>
      <c r="J482">
        <v>21.564397809999999</v>
      </c>
      <c r="K482">
        <v>17.622718809999999</v>
      </c>
      <c r="N482">
        <v>0</v>
      </c>
      <c r="O482">
        <v>0</v>
      </c>
    </row>
    <row r="483" spans="1:15">
      <c r="A483">
        <v>-1.2102479880000001</v>
      </c>
      <c r="B483">
        <v>-0.99581700900000003</v>
      </c>
      <c r="C483">
        <v>-0.60512399400000005</v>
      </c>
      <c r="D483">
        <v>-1.558985903</v>
      </c>
      <c r="E483">
        <v>0</v>
      </c>
      <c r="F483">
        <v>20</v>
      </c>
      <c r="G483">
        <v>10</v>
      </c>
      <c r="H483">
        <v>0</v>
      </c>
      <c r="I483">
        <v>3</v>
      </c>
      <c r="J483">
        <v>11.79216957</v>
      </c>
      <c r="K483">
        <v>7.7385120389999997</v>
      </c>
      <c r="N483">
        <v>0</v>
      </c>
      <c r="O483">
        <v>0</v>
      </c>
    </row>
    <row r="484" spans="1:15">
      <c r="A484">
        <v>1.019305479</v>
      </c>
      <c r="B484">
        <v>-2.1013191440000001</v>
      </c>
      <c r="C484">
        <v>0.50965273899999997</v>
      </c>
      <c r="D484">
        <v>-0.77610025999999999</v>
      </c>
      <c r="E484">
        <v>1</v>
      </c>
      <c r="F484">
        <v>29</v>
      </c>
      <c r="G484">
        <v>10</v>
      </c>
      <c r="H484">
        <v>0</v>
      </c>
      <c r="I484">
        <v>0</v>
      </c>
      <c r="J484">
        <v>9.7867965699999999</v>
      </c>
      <c r="K484">
        <v>22.915832519999999</v>
      </c>
      <c r="N484">
        <v>0</v>
      </c>
      <c r="O484">
        <v>0</v>
      </c>
    </row>
    <row r="485" spans="1:15">
      <c r="A485">
        <v>-1.108564849</v>
      </c>
      <c r="B485">
        <v>-0.49928160999999999</v>
      </c>
      <c r="C485">
        <v>-0.55428242400000005</v>
      </c>
      <c r="D485">
        <v>-1.1346263089999999</v>
      </c>
      <c r="E485">
        <v>2</v>
      </c>
      <c r="F485">
        <v>50</v>
      </c>
      <c r="G485">
        <v>16</v>
      </c>
      <c r="H485">
        <v>0</v>
      </c>
      <c r="I485">
        <v>4</v>
      </c>
      <c r="J485">
        <v>38.384483340000003</v>
      </c>
      <c r="K485">
        <v>20.348611829999999</v>
      </c>
      <c r="L485">
        <v>20.348611829999999</v>
      </c>
      <c r="M485">
        <v>3.0130126480000001</v>
      </c>
      <c r="N485">
        <v>1</v>
      </c>
      <c r="O485">
        <v>3.0130126480000001</v>
      </c>
    </row>
    <row r="486" spans="1:15">
      <c r="A486">
        <v>0.91608680399999998</v>
      </c>
      <c r="B486">
        <v>-1.842672452</v>
      </c>
      <c r="C486">
        <v>0.45804340199999999</v>
      </c>
      <c r="D486">
        <v>-0.66492276699999997</v>
      </c>
      <c r="E486">
        <v>3</v>
      </c>
      <c r="F486">
        <v>29</v>
      </c>
      <c r="G486">
        <v>12</v>
      </c>
      <c r="H486">
        <v>0</v>
      </c>
      <c r="I486">
        <v>0</v>
      </c>
      <c r="J486">
        <v>12.620926860000001</v>
      </c>
      <c r="K486">
        <v>24.296520229999999</v>
      </c>
      <c r="N486">
        <v>0</v>
      </c>
      <c r="O486">
        <v>0</v>
      </c>
    </row>
    <row r="487" spans="1:15">
      <c r="A487">
        <v>-0.65982289100000002</v>
      </c>
      <c r="B487">
        <v>-0.82436413100000006</v>
      </c>
      <c r="C487">
        <v>-0.329911446</v>
      </c>
      <c r="D487">
        <v>-1.049945057</v>
      </c>
      <c r="E487">
        <v>4</v>
      </c>
      <c r="F487">
        <v>40</v>
      </c>
      <c r="G487">
        <v>12</v>
      </c>
      <c r="H487">
        <v>0</v>
      </c>
      <c r="I487">
        <v>1</v>
      </c>
      <c r="J487">
        <v>17.400659560000001</v>
      </c>
      <c r="K487">
        <v>17.041063309999998</v>
      </c>
      <c r="N487">
        <v>0</v>
      </c>
      <c r="O487">
        <v>0</v>
      </c>
    </row>
    <row r="488" spans="1:15">
      <c r="A488">
        <v>0.90500180399999997</v>
      </c>
      <c r="B488">
        <v>-0.88117162100000002</v>
      </c>
      <c r="C488">
        <v>0.45250090199999998</v>
      </c>
      <c r="D488">
        <v>1.0502489E-2</v>
      </c>
      <c r="E488">
        <v>5</v>
      </c>
      <c r="F488">
        <v>30</v>
      </c>
      <c r="G488">
        <v>16</v>
      </c>
      <c r="H488">
        <v>0</v>
      </c>
      <c r="I488">
        <v>4</v>
      </c>
      <c r="J488">
        <v>44.126029969999998</v>
      </c>
      <c r="K488">
        <v>28.430011749999998</v>
      </c>
      <c r="L488">
        <v>28.430011749999998</v>
      </c>
      <c r="M488">
        <v>3.3474452499999998</v>
      </c>
      <c r="N488">
        <v>1</v>
      </c>
      <c r="O488">
        <v>3.3474452499999998</v>
      </c>
    </row>
    <row r="489" spans="1:15">
      <c r="A489">
        <v>0.25877798699999999</v>
      </c>
      <c r="B489">
        <v>0.92134666899999995</v>
      </c>
      <c r="C489">
        <v>0.12938899300000001</v>
      </c>
      <c r="D489">
        <v>0.83673416300000003</v>
      </c>
      <c r="E489">
        <v>6</v>
      </c>
      <c r="F489">
        <v>33</v>
      </c>
      <c r="G489">
        <v>10</v>
      </c>
      <c r="H489">
        <v>1</v>
      </c>
      <c r="I489">
        <v>1</v>
      </c>
      <c r="J489">
        <v>40.74081039</v>
      </c>
      <c r="K489">
        <v>19.152667999999998</v>
      </c>
      <c r="L489">
        <v>19.152667999999998</v>
      </c>
      <c r="M489">
        <v>2.9524419310000001</v>
      </c>
      <c r="N489">
        <v>1</v>
      </c>
      <c r="O489">
        <v>2.9524419310000001</v>
      </c>
    </row>
    <row r="490" spans="1:15">
      <c r="A490">
        <v>-0.65689702999999999</v>
      </c>
      <c r="B490">
        <v>-1.3895554640000001</v>
      </c>
      <c r="C490">
        <v>-0.328448515</v>
      </c>
      <c r="D490">
        <v>-1.4495004499999999</v>
      </c>
      <c r="E490">
        <v>7</v>
      </c>
      <c r="F490">
        <v>40</v>
      </c>
      <c r="G490">
        <v>16</v>
      </c>
      <c r="H490">
        <v>1</v>
      </c>
      <c r="I490">
        <v>5</v>
      </c>
      <c r="J490">
        <v>40.605995180000001</v>
      </c>
      <c r="K490">
        <v>21.058618549999998</v>
      </c>
      <c r="L490">
        <v>21.058618549999998</v>
      </c>
      <c r="M490">
        <v>3.0473098749999998</v>
      </c>
      <c r="N490">
        <v>1</v>
      </c>
      <c r="O490">
        <v>3.0473098749999998</v>
      </c>
    </row>
    <row r="491" spans="1:15">
      <c r="A491">
        <v>-1.0742557720000001</v>
      </c>
      <c r="B491">
        <v>-1.7700474020000001</v>
      </c>
      <c r="C491">
        <v>-0.53712788600000005</v>
      </c>
      <c r="D491">
        <v>-2.013471526</v>
      </c>
      <c r="E491">
        <v>8</v>
      </c>
      <c r="F491">
        <v>38</v>
      </c>
      <c r="G491">
        <v>12</v>
      </c>
      <c r="H491">
        <v>1</v>
      </c>
      <c r="I491">
        <v>1</v>
      </c>
      <c r="J491">
        <v>10.038341519999999</v>
      </c>
      <c r="K491">
        <v>14.154465679999999</v>
      </c>
      <c r="N491">
        <v>0</v>
      </c>
      <c r="O491">
        <v>0</v>
      </c>
    </row>
    <row r="492" spans="1:15">
      <c r="A492">
        <v>-0.25297812600000003</v>
      </c>
      <c r="B492">
        <v>0.45956280799999999</v>
      </c>
      <c r="C492">
        <v>-0.12648906300000001</v>
      </c>
      <c r="D492">
        <v>0.14859255699999999</v>
      </c>
      <c r="E492">
        <v>9</v>
      </c>
      <c r="F492">
        <v>40</v>
      </c>
      <c r="G492">
        <v>12</v>
      </c>
      <c r="H492">
        <v>1</v>
      </c>
      <c r="I492">
        <v>4</v>
      </c>
      <c r="J492">
        <v>51.783111570000003</v>
      </c>
      <c r="K492">
        <v>19.48213196</v>
      </c>
      <c r="L492">
        <v>19.48213196</v>
      </c>
      <c r="M492">
        <v>2.969497681</v>
      </c>
      <c r="N492">
        <v>1</v>
      </c>
      <c r="O492">
        <v>2.969497681</v>
      </c>
    </row>
    <row r="493" spans="1:15">
      <c r="A493">
        <v>-0.65638341700000002</v>
      </c>
      <c r="B493">
        <v>-1.7948956620000001</v>
      </c>
      <c r="C493">
        <v>-0.32819170800000003</v>
      </c>
      <c r="D493">
        <v>-1.737165778</v>
      </c>
      <c r="E493">
        <v>0</v>
      </c>
      <c r="F493">
        <v>29</v>
      </c>
      <c r="G493">
        <v>10</v>
      </c>
      <c r="H493">
        <v>0</v>
      </c>
      <c r="I493">
        <v>3</v>
      </c>
      <c r="J493">
        <v>13.2540102</v>
      </c>
      <c r="K493">
        <v>12.861699099999999</v>
      </c>
      <c r="N493">
        <v>0</v>
      </c>
      <c r="O493">
        <v>0</v>
      </c>
    </row>
    <row r="494" spans="1:15">
      <c r="A494">
        <v>0.20379519900000001</v>
      </c>
      <c r="B494">
        <v>-0.22895269200000001</v>
      </c>
      <c r="C494">
        <v>0.10189759900000001</v>
      </c>
      <c r="D494">
        <v>-1.9324539000000002E-2</v>
      </c>
      <c r="E494">
        <v>1</v>
      </c>
      <c r="F494">
        <v>34</v>
      </c>
      <c r="G494">
        <v>10</v>
      </c>
      <c r="H494">
        <v>0</v>
      </c>
      <c r="I494">
        <v>0</v>
      </c>
      <c r="J494">
        <v>20.868104930000001</v>
      </c>
      <c r="K494">
        <v>19.022771840000001</v>
      </c>
      <c r="N494">
        <v>0</v>
      </c>
      <c r="O494">
        <v>0</v>
      </c>
    </row>
    <row r="495" spans="1:15">
      <c r="A495">
        <v>-0.66414859999999998</v>
      </c>
      <c r="B495">
        <v>-2.5007054310000001</v>
      </c>
      <c r="C495">
        <v>-0.33207429999999999</v>
      </c>
      <c r="D495">
        <v>-2.244162695</v>
      </c>
      <c r="E495">
        <v>2</v>
      </c>
      <c r="F495">
        <v>24</v>
      </c>
      <c r="G495">
        <v>10</v>
      </c>
      <c r="H495">
        <v>1</v>
      </c>
      <c r="I495">
        <v>0</v>
      </c>
      <c r="J495">
        <v>-4.8299522399999999</v>
      </c>
      <c r="K495">
        <v>11.8151083</v>
      </c>
      <c r="N495">
        <v>0</v>
      </c>
      <c r="O495">
        <v>0</v>
      </c>
    </row>
    <row r="496" spans="1:15">
      <c r="A496">
        <v>-0.746034949</v>
      </c>
      <c r="B496">
        <v>-1.1260946709999999</v>
      </c>
      <c r="C496">
        <v>-0.37301747400000002</v>
      </c>
      <c r="D496">
        <v>-1.324996705</v>
      </c>
      <c r="E496">
        <v>3</v>
      </c>
      <c r="F496">
        <v>26</v>
      </c>
      <c r="G496">
        <v>10</v>
      </c>
      <c r="H496">
        <v>0</v>
      </c>
      <c r="I496">
        <v>3</v>
      </c>
      <c r="J496">
        <v>17.000040049999999</v>
      </c>
      <c r="K496">
        <v>11.723790169999999</v>
      </c>
      <c r="N496">
        <v>0</v>
      </c>
      <c r="O496">
        <v>0</v>
      </c>
    </row>
    <row r="497" spans="1:15">
      <c r="A497">
        <v>0.98649130699999998</v>
      </c>
      <c r="B497">
        <v>0.84962428499999998</v>
      </c>
      <c r="C497">
        <v>0.49324565399999998</v>
      </c>
      <c r="D497">
        <v>1.297697222</v>
      </c>
      <c r="E497">
        <v>4</v>
      </c>
      <c r="F497">
        <v>39</v>
      </c>
      <c r="G497">
        <v>10</v>
      </c>
      <c r="H497">
        <v>0</v>
      </c>
      <c r="I497">
        <v>2</v>
      </c>
      <c r="J497">
        <v>48.672367100000002</v>
      </c>
      <c r="K497">
        <v>24.718948359999999</v>
      </c>
      <c r="L497">
        <v>24.718948359999999</v>
      </c>
      <c r="M497">
        <v>3.2075700760000001</v>
      </c>
      <c r="N497">
        <v>1</v>
      </c>
      <c r="O497">
        <v>3.2075700760000001</v>
      </c>
    </row>
    <row r="498" spans="1:15">
      <c r="A498">
        <v>-0.44486276000000002</v>
      </c>
      <c r="B498">
        <v>0.36540029299999999</v>
      </c>
      <c r="C498">
        <v>-0.22243138000000001</v>
      </c>
      <c r="D498">
        <v>-5.3303335E-2</v>
      </c>
      <c r="E498">
        <v>5</v>
      </c>
      <c r="F498">
        <v>32</v>
      </c>
      <c r="G498">
        <v>10</v>
      </c>
      <c r="H498">
        <v>1</v>
      </c>
      <c r="I498">
        <v>1</v>
      </c>
      <c r="J498">
        <v>29.66036034</v>
      </c>
      <c r="K498">
        <v>14.73082352</v>
      </c>
      <c r="L498">
        <v>14.73082352</v>
      </c>
      <c r="M498">
        <v>2.6899421220000002</v>
      </c>
      <c r="N498">
        <v>1</v>
      </c>
      <c r="O498">
        <v>2.6899421220000002</v>
      </c>
    </row>
    <row r="499" spans="1:15">
      <c r="A499">
        <v>0.48657078100000001</v>
      </c>
      <c r="B499">
        <v>-1.364511203</v>
      </c>
      <c r="C499">
        <v>0.24328538999999999</v>
      </c>
      <c r="D499">
        <v>-0.62730438700000002</v>
      </c>
      <c r="E499">
        <v>6</v>
      </c>
      <c r="F499">
        <v>36</v>
      </c>
      <c r="G499">
        <v>16</v>
      </c>
      <c r="H499">
        <v>1</v>
      </c>
      <c r="I499">
        <v>1</v>
      </c>
      <c r="J499">
        <v>28.872346879999998</v>
      </c>
      <c r="K499">
        <v>27.119424819999999</v>
      </c>
      <c r="N499">
        <v>0</v>
      </c>
      <c r="O499">
        <v>0</v>
      </c>
    </row>
    <row r="500" spans="1:15">
      <c r="A500">
        <v>0.16263260700000001</v>
      </c>
      <c r="B500">
        <v>0.43312076900000002</v>
      </c>
      <c r="C500">
        <v>8.1316303000000006E-2</v>
      </c>
      <c r="D500">
        <v>0.42217480400000001</v>
      </c>
      <c r="E500">
        <v>7</v>
      </c>
      <c r="F500">
        <v>48</v>
      </c>
      <c r="G500">
        <v>12</v>
      </c>
      <c r="H500">
        <v>1</v>
      </c>
      <c r="I500">
        <v>4</v>
      </c>
      <c r="J500">
        <v>58.266098020000001</v>
      </c>
      <c r="K500">
        <v>23.575796130000001</v>
      </c>
      <c r="L500">
        <v>23.575796130000001</v>
      </c>
      <c r="M500">
        <v>3.1602206229999998</v>
      </c>
      <c r="N500">
        <v>1</v>
      </c>
      <c r="O500">
        <v>3.1602206229999998</v>
      </c>
    </row>
    <row r="501" spans="1:15">
      <c r="A501">
        <v>-1.99954962</v>
      </c>
      <c r="B501">
        <v>-4.8149409999999997E-2</v>
      </c>
      <c r="C501">
        <v>-0.99977481000000001</v>
      </c>
      <c r="D501">
        <v>-1.440845594</v>
      </c>
      <c r="E501">
        <v>8</v>
      </c>
      <c r="F501">
        <v>38</v>
      </c>
      <c r="G501">
        <v>16</v>
      </c>
      <c r="H501">
        <v>1</v>
      </c>
      <c r="I501">
        <v>1</v>
      </c>
      <c r="J501">
        <v>19.90985298</v>
      </c>
      <c r="K501">
        <v>12.60270214</v>
      </c>
      <c r="N501">
        <v>0</v>
      </c>
      <c r="O501">
        <v>0</v>
      </c>
    </row>
    <row r="502" spans="1:15">
      <c r="A502">
        <v>0.123899754</v>
      </c>
      <c r="B502">
        <v>1.2284948579999999</v>
      </c>
      <c r="C502">
        <v>6.1949877E-2</v>
      </c>
      <c r="D502">
        <v>0.96010416799999998</v>
      </c>
      <c r="E502">
        <v>9</v>
      </c>
      <c r="F502">
        <v>41</v>
      </c>
      <c r="G502">
        <v>12</v>
      </c>
      <c r="H502">
        <v>1</v>
      </c>
      <c r="I502">
        <v>3</v>
      </c>
      <c r="J502">
        <v>56.92124939</v>
      </c>
      <c r="K502">
        <v>21.943399429999999</v>
      </c>
      <c r="L502">
        <v>21.943399429999999</v>
      </c>
      <c r="M502">
        <v>3.0884664060000002</v>
      </c>
      <c r="N502">
        <v>1</v>
      </c>
      <c r="O502">
        <v>3.0884664060000002</v>
      </c>
    </row>
    <row r="503" spans="1:15">
      <c r="A503">
        <v>-0.26540197399999998</v>
      </c>
      <c r="B503">
        <v>2.276818805</v>
      </c>
      <c r="C503">
        <v>-0.13270098699999999</v>
      </c>
      <c r="D503">
        <v>1.431158481</v>
      </c>
      <c r="E503">
        <v>0</v>
      </c>
      <c r="F503">
        <v>20</v>
      </c>
      <c r="G503">
        <v>10</v>
      </c>
      <c r="H503">
        <v>0</v>
      </c>
      <c r="I503">
        <v>1</v>
      </c>
      <c r="J503">
        <v>37.673900600000003</v>
      </c>
      <c r="K503">
        <v>13.40758801</v>
      </c>
      <c r="L503">
        <v>13.40758801</v>
      </c>
      <c r="M503">
        <v>2.595820904</v>
      </c>
      <c r="N503">
        <v>1</v>
      </c>
      <c r="O503">
        <v>2.595820904</v>
      </c>
    </row>
    <row r="504" spans="1:15">
      <c r="A504">
        <v>0.13971542200000001</v>
      </c>
      <c r="B504">
        <v>1.3756268E-2</v>
      </c>
      <c r="C504">
        <v>6.9857711000000003E-2</v>
      </c>
      <c r="D504">
        <v>0.10806112499999999</v>
      </c>
      <c r="E504">
        <v>1</v>
      </c>
      <c r="F504">
        <v>22</v>
      </c>
      <c r="G504">
        <v>10</v>
      </c>
      <c r="H504">
        <v>0</v>
      </c>
      <c r="I504">
        <v>2</v>
      </c>
      <c r="J504">
        <v>27.596733090000001</v>
      </c>
      <c r="K504">
        <v>16.238292690000002</v>
      </c>
      <c r="N504">
        <v>0</v>
      </c>
      <c r="O504">
        <v>0</v>
      </c>
    </row>
    <row r="505" spans="1:15">
      <c r="A505">
        <v>1.439334409</v>
      </c>
      <c r="B505">
        <v>-1.0404231799999999</v>
      </c>
      <c r="C505">
        <v>0.71966720500000003</v>
      </c>
      <c r="D505">
        <v>0.27323072199999998</v>
      </c>
      <c r="E505">
        <v>2</v>
      </c>
      <c r="F505">
        <v>31</v>
      </c>
      <c r="G505">
        <v>10</v>
      </c>
      <c r="H505">
        <v>1</v>
      </c>
      <c r="I505">
        <v>4</v>
      </c>
      <c r="J505">
        <v>48.178768159999997</v>
      </c>
      <c r="K505">
        <v>25.83600616</v>
      </c>
      <c r="L505">
        <v>25.83600616</v>
      </c>
      <c r="M505">
        <v>3.251769066</v>
      </c>
      <c r="N505">
        <v>1</v>
      </c>
      <c r="O505">
        <v>3.251769066</v>
      </c>
    </row>
    <row r="506" spans="1:15">
      <c r="A506">
        <v>1.305938501</v>
      </c>
      <c r="B506">
        <v>0.92461644799999998</v>
      </c>
      <c r="C506">
        <v>0.65296925100000003</v>
      </c>
      <c r="D506">
        <v>1.5757080160000001</v>
      </c>
      <c r="E506">
        <v>3</v>
      </c>
      <c r="F506">
        <v>46</v>
      </c>
      <c r="G506">
        <v>12</v>
      </c>
      <c r="H506">
        <v>1</v>
      </c>
      <c r="I506">
        <v>2</v>
      </c>
      <c r="J506">
        <v>61.308494570000001</v>
      </c>
      <c r="K506">
        <v>30.035631179999999</v>
      </c>
      <c r="L506">
        <v>30.035631179999999</v>
      </c>
      <c r="M506">
        <v>3.4023842809999998</v>
      </c>
      <c r="N506">
        <v>1</v>
      </c>
      <c r="O506">
        <v>3.4023842809999998</v>
      </c>
    </row>
    <row r="507" spans="1:15">
      <c r="A507">
        <v>-0.61989628200000002</v>
      </c>
      <c r="B507">
        <v>0.67349604399999996</v>
      </c>
      <c r="C507">
        <v>-0.30994814100000001</v>
      </c>
      <c r="D507">
        <v>4.2491779E-2</v>
      </c>
      <c r="E507">
        <v>4</v>
      </c>
      <c r="F507">
        <v>28</v>
      </c>
      <c r="G507">
        <v>12</v>
      </c>
      <c r="H507">
        <v>1</v>
      </c>
      <c r="I507">
        <v>0</v>
      </c>
      <c r="J507">
        <v>25.709901810000002</v>
      </c>
      <c r="K507">
        <v>14.88062191</v>
      </c>
      <c r="N507">
        <v>0</v>
      </c>
      <c r="O507">
        <v>0</v>
      </c>
    </row>
    <row r="508" spans="1:15">
      <c r="A508">
        <v>0.634735877</v>
      </c>
      <c r="B508">
        <v>-0.21886349299999999</v>
      </c>
      <c r="C508">
        <v>0.31736793899999999</v>
      </c>
      <c r="D508">
        <v>0.29100029599999999</v>
      </c>
      <c r="E508">
        <v>5</v>
      </c>
      <c r="F508">
        <v>46</v>
      </c>
      <c r="G508">
        <v>12</v>
      </c>
      <c r="H508">
        <v>1</v>
      </c>
      <c r="I508">
        <v>2</v>
      </c>
      <c r="J508">
        <v>45.89200211</v>
      </c>
      <c r="K508">
        <v>26.00841522</v>
      </c>
      <c r="L508">
        <v>26.00841522</v>
      </c>
      <c r="M508">
        <v>3.2584202289999999</v>
      </c>
      <c r="N508">
        <v>1</v>
      </c>
      <c r="O508">
        <v>3.2584202289999999</v>
      </c>
    </row>
    <row r="509" spans="1:15">
      <c r="A509">
        <v>-0.167995634</v>
      </c>
      <c r="B509">
        <v>-0.27042039200000001</v>
      </c>
      <c r="C509">
        <v>-8.3997817000000002E-2</v>
      </c>
      <c r="D509">
        <v>-0.31033591999999999</v>
      </c>
      <c r="E509">
        <v>6</v>
      </c>
      <c r="F509">
        <v>33</v>
      </c>
      <c r="G509">
        <v>12</v>
      </c>
      <c r="H509">
        <v>1</v>
      </c>
      <c r="I509">
        <v>0</v>
      </c>
      <c r="J509">
        <v>23.47596931</v>
      </c>
      <c r="K509">
        <v>18.592025759999999</v>
      </c>
      <c r="N509">
        <v>0</v>
      </c>
      <c r="O509">
        <v>0</v>
      </c>
    </row>
    <row r="510" spans="1:15">
      <c r="A510">
        <v>-0.672400526</v>
      </c>
      <c r="B510">
        <v>0.26094226399999998</v>
      </c>
      <c r="C510">
        <v>-0.336200263</v>
      </c>
      <c r="D510">
        <v>-0.28759607100000001</v>
      </c>
      <c r="E510">
        <v>7</v>
      </c>
      <c r="F510">
        <v>43</v>
      </c>
      <c r="G510">
        <v>12</v>
      </c>
      <c r="H510">
        <v>1</v>
      </c>
      <c r="I510">
        <v>3</v>
      </c>
      <c r="J510">
        <v>42.748847959999999</v>
      </c>
      <c r="K510">
        <v>17.565597530000002</v>
      </c>
      <c r="L510">
        <v>17.565597530000002</v>
      </c>
      <c r="M510">
        <v>2.8659422399999999</v>
      </c>
      <c r="N510">
        <v>1</v>
      </c>
      <c r="O510">
        <v>2.8659422399999999</v>
      </c>
    </row>
    <row r="511" spans="1:15">
      <c r="A511">
        <v>0.73420327299999999</v>
      </c>
      <c r="B511">
        <v>-3.0766981999999998E-2</v>
      </c>
      <c r="C511">
        <v>0.36710163699999998</v>
      </c>
      <c r="D511">
        <v>0.494630664</v>
      </c>
      <c r="E511">
        <v>8</v>
      </c>
      <c r="F511">
        <v>51</v>
      </c>
      <c r="G511">
        <v>12</v>
      </c>
      <c r="H511">
        <v>1</v>
      </c>
      <c r="I511">
        <v>1</v>
      </c>
      <c r="J511">
        <v>45.335567470000001</v>
      </c>
      <c r="K511">
        <v>27.60521889</v>
      </c>
      <c r="L511">
        <v>27.60521889</v>
      </c>
      <c r="M511">
        <v>3.3180048470000001</v>
      </c>
      <c r="N511">
        <v>1</v>
      </c>
      <c r="O511">
        <v>3.3180048470000001</v>
      </c>
    </row>
    <row r="512" spans="1:15">
      <c r="A512">
        <v>-0.174342214</v>
      </c>
      <c r="B512">
        <v>0.51061861799999997</v>
      </c>
      <c r="C512">
        <v>-8.7171106999999998E-2</v>
      </c>
      <c r="D512">
        <v>0.240190131</v>
      </c>
      <c r="E512">
        <v>9</v>
      </c>
      <c r="F512">
        <v>42</v>
      </c>
      <c r="G512">
        <v>16</v>
      </c>
      <c r="H512">
        <v>1</v>
      </c>
      <c r="I512">
        <v>0</v>
      </c>
      <c r="J512">
        <v>36.682281490000001</v>
      </c>
      <c r="K512">
        <v>24.353946690000001</v>
      </c>
      <c r="L512">
        <v>24.353946690000001</v>
      </c>
      <c r="M512">
        <v>3.1926939490000001</v>
      </c>
      <c r="N512">
        <v>1</v>
      </c>
      <c r="O512">
        <v>3.1926939490000001</v>
      </c>
    </row>
    <row r="513" spans="1:15">
      <c r="A513">
        <v>0.16033972199999999</v>
      </c>
      <c r="B513">
        <v>-0.31805577200000001</v>
      </c>
      <c r="C513">
        <v>8.0169860999999995E-2</v>
      </c>
      <c r="D513">
        <v>-0.113209214</v>
      </c>
      <c r="E513">
        <v>0</v>
      </c>
      <c r="F513">
        <v>39</v>
      </c>
      <c r="G513">
        <v>16</v>
      </c>
      <c r="H513">
        <v>0</v>
      </c>
      <c r="I513">
        <v>3</v>
      </c>
      <c r="J513">
        <v>41.24148941</v>
      </c>
      <c r="K513">
        <v>25.762039179999999</v>
      </c>
      <c r="L513">
        <v>25.762039179999999</v>
      </c>
      <c r="M513">
        <v>3.2489020819999999</v>
      </c>
      <c r="N513">
        <v>1</v>
      </c>
      <c r="O513">
        <v>3.2489020819999999</v>
      </c>
    </row>
    <row r="514" spans="1:15">
      <c r="A514">
        <v>-0.38459367300000002</v>
      </c>
      <c r="B514">
        <v>0.45965930100000002</v>
      </c>
      <c r="C514">
        <v>-0.192296836</v>
      </c>
      <c r="D514">
        <v>5.6072980000000001E-2</v>
      </c>
      <c r="E514">
        <v>1</v>
      </c>
      <c r="F514">
        <v>29</v>
      </c>
      <c r="G514">
        <v>10</v>
      </c>
      <c r="H514">
        <v>1</v>
      </c>
      <c r="I514">
        <v>3</v>
      </c>
      <c r="J514">
        <v>39.772876740000001</v>
      </c>
      <c r="K514">
        <v>14.49243832</v>
      </c>
      <c r="L514">
        <v>14.49243832</v>
      </c>
      <c r="M514">
        <v>2.6736268999999999</v>
      </c>
      <c r="N514">
        <v>1</v>
      </c>
      <c r="O514">
        <v>2.6736268999999999</v>
      </c>
    </row>
    <row r="515" spans="1:15">
      <c r="A515">
        <v>-0.65106482300000001</v>
      </c>
      <c r="B515">
        <v>-2.1600147779999999</v>
      </c>
      <c r="C515">
        <v>-0.32553241100000002</v>
      </c>
      <c r="D515">
        <v>-1.9928706279999999</v>
      </c>
      <c r="E515">
        <v>2</v>
      </c>
      <c r="F515">
        <v>26</v>
      </c>
      <c r="G515">
        <v>12</v>
      </c>
      <c r="H515">
        <v>1</v>
      </c>
      <c r="I515">
        <v>0</v>
      </c>
      <c r="J515">
        <v>0.48555246000000002</v>
      </c>
      <c r="K515">
        <v>14.29361153</v>
      </c>
      <c r="N515">
        <v>0</v>
      </c>
      <c r="O515">
        <v>0</v>
      </c>
    </row>
    <row r="516" spans="1:15">
      <c r="A516">
        <v>0.32261958899999998</v>
      </c>
      <c r="B516">
        <v>1.3686806419999999</v>
      </c>
      <c r="C516">
        <v>0.16130979400000001</v>
      </c>
      <c r="D516">
        <v>1.1995116610000001</v>
      </c>
      <c r="E516">
        <v>3</v>
      </c>
      <c r="F516">
        <v>30</v>
      </c>
      <c r="G516">
        <v>10</v>
      </c>
      <c r="H516">
        <v>1</v>
      </c>
      <c r="I516">
        <v>0</v>
      </c>
      <c r="J516">
        <v>38.894138339999998</v>
      </c>
      <c r="K516">
        <v>18.935716630000002</v>
      </c>
      <c r="L516">
        <v>18.935716630000002</v>
      </c>
      <c r="M516">
        <v>2.9410498139999999</v>
      </c>
      <c r="N516">
        <v>1</v>
      </c>
      <c r="O516">
        <v>2.9410498139999999</v>
      </c>
    </row>
    <row r="517" spans="1:15">
      <c r="A517">
        <v>1.6239209000000001E-2</v>
      </c>
      <c r="B517">
        <v>0.78912594899999999</v>
      </c>
      <c r="C517">
        <v>8.1196040000000008E-3</v>
      </c>
      <c r="D517">
        <v>0.57216098800000004</v>
      </c>
      <c r="E517">
        <v>4</v>
      </c>
      <c r="F517">
        <v>35</v>
      </c>
      <c r="G517">
        <v>12</v>
      </c>
      <c r="H517">
        <v>1</v>
      </c>
      <c r="I517">
        <v>0</v>
      </c>
      <c r="J517">
        <v>34.865932460000003</v>
      </c>
      <c r="K517">
        <v>20.097435000000001</v>
      </c>
      <c r="L517">
        <v>20.097435000000001</v>
      </c>
      <c r="M517">
        <v>3.0005922319999998</v>
      </c>
      <c r="N517">
        <v>1</v>
      </c>
      <c r="O517">
        <v>3.0005922319999998</v>
      </c>
    </row>
    <row r="518" spans="1:15">
      <c r="A518">
        <v>-0.53665872699999995</v>
      </c>
      <c r="B518">
        <v>0.27809491600000003</v>
      </c>
      <c r="C518">
        <v>-0.26832936299999999</v>
      </c>
      <c r="D518">
        <v>-0.179916885</v>
      </c>
      <c r="E518">
        <v>5</v>
      </c>
      <c r="F518">
        <v>45</v>
      </c>
      <c r="G518">
        <v>16</v>
      </c>
      <c r="H518">
        <v>1</v>
      </c>
      <c r="I518">
        <v>1</v>
      </c>
      <c r="J518">
        <v>37.840995790000001</v>
      </c>
      <c r="K518">
        <v>22.780048369999999</v>
      </c>
      <c r="L518">
        <v>22.780048369999999</v>
      </c>
      <c r="M518">
        <v>3.1258850100000002</v>
      </c>
      <c r="N518">
        <v>1</v>
      </c>
      <c r="O518">
        <v>3.1258850100000002</v>
      </c>
    </row>
    <row r="519" spans="1:15">
      <c r="A519">
        <v>0.73962747399999995</v>
      </c>
      <c r="B519">
        <v>0.50520944300000004</v>
      </c>
      <c r="C519">
        <v>0.36981373699999998</v>
      </c>
      <c r="D519">
        <v>0.87930058200000005</v>
      </c>
      <c r="E519">
        <v>6</v>
      </c>
      <c r="F519">
        <v>32</v>
      </c>
      <c r="G519">
        <v>10</v>
      </c>
      <c r="H519">
        <v>0</v>
      </c>
      <c r="I519">
        <v>3</v>
      </c>
      <c r="J519">
        <v>45.851608280000001</v>
      </c>
      <c r="K519">
        <v>21.837764740000001</v>
      </c>
      <c r="L519">
        <v>21.837764740000001</v>
      </c>
      <c r="M519">
        <v>3.0836408139999998</v>
      </c>
      <c r="N519">
        <v>1</v>
      </c>
      <c r="O519">
        <v>3.0836408139999998</v>
      </c>
    </row>
    <row r="520" spans="1:15">
      <c r="A520">
        <v>1.5715762099999999</v>
      </c>
      <c r="B520">
        <v>0.39777205399999999</v>
      </c>
      <c r="C520">
        <v>0.78578810499999996</v>
      </c>
      <c r="D520">
        <v>1.388212199</v>
      </c>
      <c r="E520">
        <v>7</v>
      </c>
      <c r="F520">
        <v>36</v>
      </c>
      <c r="G520">
        <v>16</v>
      </c>
      <c r="H520">
        <v>1</v>
      </c>
      <c r="I520">
        <v>1</v>
      </c>
      <c r="J520">
        <v>53.058547969999999</v>
      </c>
      <c r="K520">
        <v>33.629455569999998</v>
      </c>
      <c r="L520">
        <v>33.629455569999998</v>
      </c>
      <c r="M520">
        <v>3.5154023169999999</v>
      </c>
      <c r="N520">
        <v>1</v>
      </c>
      <c r="O520">
        <v>3.5154023169999999</v>
      </c>
    </row>
    <row r="521" spans="1:15">
      <c r="A521">
        <v>0.20882740599999999</v>
      </c>
      <c r="B521">
        <v>-1.8487713459999999</v>
      </c>
      <c r="C521">
        <v>0.104413703</v>
      </c>
      <c r="D521">
        <v>-1.1667952640000001</v>
      </c>
      <c r="E521">
        <v>8</v>
      </c>
      <c r="F521">
        <v>37</v>
      </c>
      <c r="G521">
        <v>12</v>
      </c>
      <c r="H521">
        <v>1</v>
      </c>
      <c r="I521">
        <v>1</v>
      </c>
      <c r="J521">
        <v>19.79845619</v>
      </c>
      <c r="K521">
        <v>21.652963639999999</v>
      </c>
      <c r="N521">
        <v>0</v>
      </c>
      <c r="O521">
        <v>0</v>
      </c>
    </row>
    <row r="522" spans="1:15">
      <c r="A522">
        <v>0.49866717999999999</v>
      </c>
      <c r="B522">
        <v>0.68811153599999997</v>
      </c>
      <c r="C522">
        <v>0.24933358999999999</v>
      </c>
      <c r="D522">
        <v>0.83975780099999997</v>
      </c>
      <c r="E522">
        <v>9</v>
      </c>
      <c r="F522">
        <v>47</v>
      </c>
      <c r="G522">
        <v>12</v>
      </c>
      <c r="H522">
        <v>1</v>
      </c>
      <c r="I522">
        <v>3</v>
      </c>
      <c r="J522">
        <v>57.877094270000001</v>
      </c>
      <c r="K522">
        <v>25.392004010000001</v>
      </c>
      <c r="L522">
        <v>25.392004010000001</v>
      </c>
      <c r="M522">
        <v>3.2344343659999999</v>
      </c>
      <c r="N522">
        <v>1</v>
      </c>
      <c r="O522">
        <v>3.2344343659999999</v>
      </c>
    </row>
    <row r="523" spans="1:15">
      <c r="A523">
        <v>-0.11753965199999999</v>
      </c>
      <c r="B523">
        <v>-0.56123730400000005</v>
      </c>
      <c r="C523">
        <v>-5.8769825999999997E-2</v>
      </c>
      <c r="D523">
        <v>-0.48149012200000002</v>
      </c>
      <c r="E523">
        <v>0</v>
      </c>
      <c r="F523">
        <v>23</v>
      </c>
      <c r="G523">
        <v>10</v>
      </c>
      <c r="H523">
        <v>0</v>
      </c>
      <c r="I523">
        <v>3</v>
      </c>
      <c r="J523">
        <v>25.92211914</v>
      </c>
      <c r="K523">
        <v>14.89476204</v>
      </c>
      <c r="N523">
        <v>0</v>
      </c>
      <c r="O523">
        <v>0</v>
      </c>
    </row>
    <row r="524" spans="1:15">
      <c r="A524">
        <v>-2.3590718430000002</v>
      </c>
      <c r="B524">
        <v>-0.93180898000000001</v>
      </c>
      <c r="C524">
        <v>-1.1795359219999999</v>
      </c>
      <c r="D524">
        <v>-2.321671029</v>
      </c>
      <c r="E524">
        <v>1</v>
      </c>
      <c r="F524">
        <v>24</v>
      </c>
      <c r="G524">
        <v>10</v>
      </c>
      <c r="H524">
        <v>0</v>
      </c>
      <c r="I524">
        <v>2</v>
      </c>
      <c r="J524">
        <v>-0.76005232300000003</v>
      </c>
      <c r="K524">
        <v>1.645568967</v>
      </c>
      <c r="N524">
        <v>0</v>
      </c>
      <c r="O524">
        <v>0</v>
      </c>
    </row>
    <row r="525" spans="1:15">
      <c r="A525">
        <v>-7.4221629999999999E-3</v>
      </c>
      <c r="B525">
        <v>0.25481037499999998</v>
      </c>
      <c r="C525">
        <v>-3.7110810000000002E-3</v>
      </c>
      <c r="D525">
        <v>0.17584185799999999</v>
      </c>
      <c r="E525">
        <v>2</v>
      </c>
      <c r="F525">
        <v>26</v>
      </c>
      <c r="G525">
        <v>10</v>
      </c>
      <c r="H525">
        <v>0</v>
      </c>
      <c r="I525">
        <v>3</v>
      </c>
      <c r="J525">
        <v>35.010101319999997</v>
      </c>
      <c r="K525">
        <v>16.15546608</v>
      </c>
      <c r="L525">
        <v>16.15546608</v>
      </c>
      <c r="M525">
        <v>2.7822585110000002</v>
      </c>
      <c r="N525">
        <v>1</v>
      </c>
      <c r="O525">
        <v>2.7822585110000002</v>
      </c>
    </row>
    <row r="526" spans="1:15">
      <c r="A526">
        <v>-0.53958963400000004</v>
      </c>
      <c r="B526">
        <v>-0.68737604100000005</v>
      </c>
      <c r="C526">
        <v>-0.26979481700000002</v>
      </c>
      <c r="D526">
        <v>-0.86802306299999998</v>
      </c>
      <c r="E526">
        <v>3</v>
      </c>
      <c r="F526">
        <v>44</v>
      </c>
      <c r="G526">
        <v>12</v>
      </c>
      <c r="H526">
        <v>1</v>
      </c>
      <c r="I526">
        <v>1</v>
      </c>
      <c r="J526">
        <v>26.183723449999999</v>
      </c>
      <c r="K526">
        <v>18.562461849999998</v>
      </c>
      <c r="N526">
        <v>0</v>
      </c>
      <c r="O526">
        <v>0</v>
      </c>
    </row>
    <row r="527" spans="1:15">
      <c r="A527">
        <v>1.4165243940000001</v>
      </c>
      <c r="B527">
        <v>-0.86090371700000001</v>
      </c>
      <c r="C527">
        <v>0.70826219700000004</v>
      </c>
      <c r="D527">
        <v>0.38474740600000001</v>
      </c>
      <c r="E527">
        <v>4</v>
      </c>
      <c r="F527">
        <v>31</v>
      </c>
      <c r="G527">
        <v>16</v>
      </c>
      <c r="H527">
        <v>1</v>
      </c>
      <c r="I527">
        <v>1</v>
      </c>
      <c r="J527">
        <v>39.016967770000001</v>
      </c>
      <c r="K527">
        <v>31.69914627</v>
      </c>
      <c r="L527">
        <v>31.69914627</v>
      </c>
      <c r="M527">
        <v>3.456289768</v>
      </c>
      <c r="N527">
        <v>1</v>
      </c>
      <c r="O527">
        <v>3.456289768</v>
      </c>
    </row>
    <row r="528" spans="1:15">
      <c r="A528">
        <v>-0.87199450099999998</v>
      </c>
      <c r="B528">
        <v>-2.4595628110000001</v>
      </c>
      <c r="C528">
        <v>-0.43599725</v>
      </c>
      <c r="D528">
        <v>-2.3611418030000002</v>
      </c>
      <c r="E528">
        <v>5</v>
      </c>
      <c r="F528">
        <v>43</v>
      </c>
      <c r="G528">
        <v>10</v>
      </c>
      <c r="H528">
        <v>1</v>
      </c>
      <c r="I528">
        <v>3</v>
      </c>
      <c r="J528">
        <v>16.36629868</v>
      </c>
      <c r="K528">
        <v>14.368033410000001</v>
      </c>
      <c r="N528">
        <v>0</v>
      </c>
      <c r="O528">
        <v>0</v>
      </c>
    </row>
    <row r="529" spans="1:15">
      <c r="A529">
        <v>9.6579449999999994E-3</v>
      </c>
      <c r="B529">
        <v>0.71907226899999999</v>
      </c>
      <c r="C529">
        <v>4.828972E-3</v>
      </c>
      <c r="D529">
        <v>0.51775249400000001</v>
      </c>
      <c r="E529">
        <v>6</v>
      </c>
      <c r="F529">
        <v>37</v>
      </c>
      <c r="G529">
        <v>16</v>
      </c>
      <c r="H529">
        <v>1</v>
      </c>
      <c r="I529">
        <v>1</v>
      </c>
      <c r="J529">
        <v>43.013031009999999</v>
      </c>
      <c r="K529">
        <v>24.45794678</v>
      </c>
      <c r="L529">
        <v>24.45794678</v>
      </c>
      <c r="M529">
        <v>3.196955204</v>
      </c>
      <c r="N529">
        <v>1</v>
      </c>
      <c r="O529">
        <v>3.196955204</v>
      </c>
    </row>
    <row r="530" spans="1:15">
      <c r="A530">
        <v>-1.1259719770000001</v>
      </c>
      <c r="B530">
        <v>-0.64629449500000002</v>
      </c>
      <c r="C530">
        <v>-0.56298598899999996</v>
      </c>
      <c r="D530">
        <v>-1.2513361919999999</v>
      </c>
      <c r="E530">
        <v>7</v>
      </c>
      <c r="F530">
        <v>39</v>
      </c>
      <c r="G530">
        <v>16</v>
      </c>
      <c r="H530">
        <v>1</v>
      </c>
      <c r="I530">
        <v>0</v>
      </c>
      <c r="J530">
        <v>17.583965299999999</v>
      </c>
      <c r="K530">
        <v>18.044168469999999</v>
      </c>
      <c r="N530">
        <v>0</v>
      </c>
      <c r="O530">
        <v>0</v>
      </c>
    </row>
    <row r="531" spans="1:15">
      <c r="A531">
        <v>1.664774693</v>
      </c>
      <c r="B531">
        <v>0.87296519400000006</v>
      </c>
      <c r="C531">
        <v>0.83238734700000006</v>
      </c>
      <c r="D531">
        <v>1.7914376729999999</v>
      </c>
      <c r="E531">
        <v>8</v>
      </c>
      <c r="F531">
        <v>38</v>
      </c>
      <c r="G531">
        <v>20</v>
      </c>
      <c r="H531">
        <v>1</v>
      </c>
      <c r="I531">
        <v>0</v>
      </c>
      <c r="J531">
        <v>56.697250369999999</v>
      </c>
      <c r="K531">
        <v>38.588649750000002</v>
      </c>
      <c r="L531">
        <v>38.588649750000002</v>
      </c>
      <c r="M531">
        <v>3.6529581549999999</v>
      </c>
      <c r="N531">
        <v>1</v>
      </c>
      <c r="O531">
        <v>3.6529581549999999</v>
      </c>
    </row>
    <row r="532" spans="1:15">
      <c r="A532">
        <v>-0.40134841399999999</v>
      </c>
      <c r="B532">
        <v>2.153899467</v>
      </c>
      <c r="C532">
        <v>-0.20067420699999999</v>
      </c>
      <c r="D532">
        <v>1.2481796430000001</v>
      </c>
      <c r="E532">
        <v>9</v>
      </c>
      <c r="F532">
        <v>39</v>
      </c>
      <c r="G532">
        <v>16</v>
      </c>
      <c r="H532">
        <v>1</v>
      </c>
      <c r="I532">
        <v>4</v>
      </c>
      <c r="J532">
        <v>67.578155519999996</v>
      </c>
      <c r="K532">
        <v>22.391908650000001</v>
      </c>
      <c r="L532">
        <v>22.391908650000001</v>
      </c>
      <c r="M532">
        <v>3.1086995599999998</v>
      </c>
      <c r="N532">
        <v>1</v>
      </c>
      <c r="O532">
        <v>3.1086995599999998</v>
      </c>
    </row>
    <row r="533" spans="1:15">
      <c r="A533">
        <v>-1.669015125</v>
      </c>
      <c r="B533">
        <v>-0.58176044199999999</v>
      </c>
      <c r="C533">
        <v>-0.83450756199999998</v>
      </c>
      <c r="D533">
        <v>-1.587496432</v>
      </c>
      <c r="E533">
        <v>0</v>
      </c>
      <c r="F533">
        <v>21</v>
      </c>
      <c r="G533">
        <v>10</v>
      </c>
      <c r="H533">
        <v>0</v>
      </c>
      <c r="I533">
        <v>2</v>
      </c>
      <c r="J533">
        <v>6.8500428199999996</v>
      </c>
      <c r="K533">
        <v>5.1859092709999999</v>
      </c>
      <c r="N533">
        <v>0</v>
      </c>
      <c r="O533">
        <v>0</v>
      </c>
    </row>
    <row r="534" spans="1:15">
      <c r="A534">
        <v>1.2315230619999999</v>
      </c>
      <c r="B534">
        <v>0.32229163100000002</v>
      </c>
      <c r="C534">
        <v>0.61576153099999997</v>
      </c>
      <c r="D534">
        <v>1.0953587</v>
      </c>
      <c r="E534">
        <v>1</v>
      </c>
      <c r="F534">
        <v>22</v>
      </c>
      <c r="G534">
        <v>10</v>
      </c>
      <c r="H534">
        <v>0</v>
      </c>
      <c r="I534">
        <v>3</v>
      </c>
      <c r="J534">
        <v>44.444305419999999</v>
      </c>
      <c r="K534">
        <v>22.789138789999999</v>
      </c>
      <c r="L534">
        <v>22.789138789999999</v>
      </c>
      <c r="M534">
        <v>3.1262841219999999</v>
      </c>
      <c r="N534">
        <v>1</v>
      </c>
      <c r="O534">
        <v>3.1262841219999999</v>
      </c>
    </row>
    <row r="535" spans="1:15">
      <c r="A535">
        <v>0.54081920400000005</v>
      </c>
      <c r="B535">
        <v>1.7317769329999999</v>
      </c>
      <c r="C535">
        <v>0.27040960200000003</v>
      </c>
      <c r="D535">
        <v>1.6110184279999999</v>
      </c>
      <c r="E535">
        <v>2</v>
      </c>
      <c r="F535">
        <v>42</v>
      </c>
      <c r="G535">
        <v>10</v>
      </c>
      <c r="H535">
        <v>0</v>
      </c>
      <c r="I535">
        <v>2</v>
      </c>
      <c r="J535">
        <v>53.632221219999998</v>
      </c>
      <c r="K535">
        <v>22.644914629999999</v>
      </c>
      <c r="L535">
        <v>22.644914629999999</v>
      </c>
      <c r="M535">
        <v>3.1199352739999999</v>
      </c>
      <c r="N535">
        <v>1</v>
      </c>
      <c r="O535">
        <v>3.1199352739999999</v>
      </c>
    </row>
    <row r="536" spans="1:15">
      <c r="A536">
        <v>-0.58338170300000003</v>
      </c>
      <c r="B536">
        <v>0.28037130900000001</v>
      </c>
      <c r="C536">
        <v>-0.29169085099999997</v>
      </c>
      <c r="D536">
        <v>-0.211167734</v>
      </c>
      <c r="E536">
        <v>3</v>
      </c>
      <c r="F536">
        <v>53</v>
      </c>
      <c r="G536">
        <v>10</v>
      </c>
      <c r="H536">
        <v>1</v>
      </c>
      <c r="I536">
        <v>0</v>
      </c>
      <c r="J536">
        <v>31.165987009999998</v>
      </c>
      <c r="K536">
        <v>18.099710460000001</v>
      </c>
      <c r="L536">
        <v>18.099710460000001</v>
      </c>
      <c r="M536">
        <v>2.8958959580000001</v>
      </c>
      <c r="N536">
        <v>1</v>
      </c>
      <c r="O536">
        <v>2.8958959580000001</v>
      </c>
    </row>
    <row r="537" spans="1:15">
      <c r="A537">
        <v>-0.34006720699999998</v>
      </c>
      <c r="B537">
        <v>0.47695952200000002</v>
      </c>
      <c r="C537">
        <v>-0.17003360300000001</v>
      </c>
      <c r="D537">
        <v>9.9689392000000002E-2</v>
      </c>
      <c r="E537">
        <v>4</v>
      </c>
      <c r="F537">
        <v>39</v>
      </c>
      <c r="G537">
        <v>10</v>
      </c>
      <c r="H537">
        <v>1</v>
      </c>
      <c r="I537">
        <v>0</v>
      </c>
      <c r="J537">
        <v>29.29627228</v>
      </c>
      <c r="K537">
        <v>16.759595869999998</v>
      </c>
      <c r="L537">
        <v>16.759595869999998</v>
      </c>
      <c r="M537">
        <v>2.8189709189999999</v>
      </c>
      <c r="N537">
        <v>1</v>
      </c>
      <c r="O537">
        <v>2.8189709189999999</v>
      </c>
    </row>
    <row r="538" spans="1:15">
      <c r="A538">
        <v>-0.30529253699999997</v>
      </c>
      <c r="B538">
        <v>-0.709569652</v>
      </c>
      <c r="C538">
        <v>-0.152646268</v>
      </c>
      <c r="D538">
        <v>-0.71897143500000005</v>
      </c>
      <c r="E538">
        <v>5</v>
      </c>
      <c r="F538">
        <v>32</v>
      </c>
      <c r="G538">
        <v>12</v>
      </c>
      <c r="H538">
        <v>1</v>
      </c>
      <c r="I538">
        <v>1</v>
      </c>
      <c r="J538">
        <v>23.1723423</v>
      </c>
      <c r="K538">
        <v>17.568244929999999</v>
      </c>
      <c r="N538">
        <v>0</v>
      </c>
      <c r="O538">
        <v>0</v>
      </c>
    </row>
    <row r="539" spans="1:15">
      <c r="A539">
        <v>-1.285808482</v>
      </c>
      <c r="B539">
        <v>0.72585256099999995</v>
      </c>
      <c r="C539">
        <v>-0.64290424099999999</v>
      </c>
      <c r="D539">
        <v>-0.38875678499999999</v>
      </c>
      <c r="E539">
        <v>6</v>
      </c>
      <c r="F539">
        <v>38</v>
      </c>
      <c r="G539">
        <v>12</v>
      </c>
      <c r="H539">
        <v>0</v>
      </c>
      <c r="I539">
        <v>5</v>
      </c>
      <c r="J539">
        <v>44.534919739999999</v>
      </c>
      <c r="K539">
        <v>12.885149</v>
      </c>
      <c r="L539">
        <v>12.885149</v>
      </c>
      <c r="M539">
        <v>2.5560753350000001</v>
      </c>
      <c r="N539">
        <v>1</v>
      </c>
      <c r="O539">
        <v>2.5560753350000001</v>
      </c>
    </row>
    <row r="540" spans="1:15">
      <c r="A540">
        <v>0.54969217299999995</v>
      </c>
      <c r="B540">
        <v>0.44994084000000001</v>
      </c>
      <c r="C540">
        <v>0.27484608599999999</v>
      </c>
      <c r="D540">
        <v>0.70641323199999995</v>
      </c>
      <c r="E540">
        <v>7</v>
      </c>
      <c r="F540">
        <v>43</v>
      </c>
      <c r="G540">
        <v>16</v>
      </c>
      <c r="H540">
        <v>1</v>
      </c>
      <c r="I540">
        <v>2</v>
      </c>
      <c r="J540">
        <v>52.67695999</v>
      </c>
      <c r="K540">
        <v>28.898153310000001</v>
      </c>
      <c r="L540">
        <v>28.898153310000001</v>
      </c>
      <c r="M540">
        <v>3.3637776370000001</v>
      </c>
      <c r="N540">
        <v>1</v>
      </c>
      <c r="O540">
        <v>3.3637776370000001</v>
      </c>
    </row>
    <row r="541" spans="1:15">
      <c r="A541">
        <v>1.0244549030000001</v>
      </c>
      <c r="B541">
        <v>-0.484177152</v>
      </c>
      <c r="C541">
        <v>0.512227451</v>
      </c>
      <c r="D541">
        <v>0.37663099700000002</v>
      </c>
      <c r="E541">
        <v>8</v>
      </c>
      <c r="F541">
        <v>52</v>
      </c>
      <c r="G541">
        <v>16</v>
      </c>
      <c r="H541">
        <v>1</v>
      </c>
      <c r="I541">
        <v>1</v>
      </c>
      <c r="J541">
        <v>47.319572450000003</v>
      </c>
      <c r="K541">
        <v>33.54673004</v>
      </c>
      <c r="L541">
        <v>33.54673004</v>
      </c>
      <c r="M541">
        <v>3.512939453</v>
      </c>
      <c r="N541">
        <v>1</v>
      </c>
      <c r="O541">
        <v>3.512939453</v>
      </c>
    </row>
    <row r="542" spans="1:15">
      <c r="A542">
        <v>-5.5356018E-2</v>
      </c>
      <c r="B542">
        <v>-0.50132683199999994</v>
      </c>
      <c r="C542">
        <v>-2.7678009E-2</v>
      </c>
      <c r="D542">
        <v>-0.39517435499999998</v>
      </c>
      <c r="E542">
        <v>9</v>
      </c>
      <c r="F542">
        <v>42</v>
      </c>
      <c r="G542">
        <v>12</v>
      </c>
      <c r="H542">
        <v>1</v>
      </c>
      <c r="I542">
        <v>0</v>
      </c>
      <c r="J542">
        <v>26.057907100000001</v>
      </c>
      <c r="K542">
        <v>21.067863460000002</v>
      </c>
      <c r="N542">
        <v>0</v>
      </c>
      <c r="O542">
        <v>0</v>
      </c>
    </row>
    <row r="543" spans="1:15">
      <c r="A543">
        <v>0.49329167000000002</v>
      </c>
      <c r="B543">
        <v>0.44156210800000001</v>
      </c>
      <c r="C543">
        <v>0.24664583500000001</v>
      </c>
      <c r="D543">
        <v>0.660783173</v>
      </c>
      <c r="E543">
        <v>0</v>
      </c>
      <c r="F543">
        <v>20</v>
      </c>
      <c r="G543">
        <v>10</v>
      </c>
      <c r="H543">
        <v>0</v>
      </c>
      <c r="I543">
        <v>0</v>
      </c>
      <c r="J543">
        <v>23.42939758</v>
      </c>
      <c r="K543">
        <v>17.959749219999999</v>
      </c>
      <c r="N543">
        <v>0</v>
      </c>
      <c r="O543">
        <v>0</v>
      </c>
    </row>
    <row r="544" spans="1:15">
      <c r="A544">
        <v>-0.194820989</v>
      </c>
      <c r="B544">
        <v>-0.57292358399999999</v>
      </c>
      <c r="C544">
        <v>-9.7410495E-2</v>
      </c>
      <c r="D544">
        <v>-0.54415958600000003</v>
      </c>
      <c r="E544">
        <v>1</v>
      </c>
      <c r="F544">
        <v>22</v>
      </c>
      <c r="G544">
        <v>10</v>
      </c>
      <c r="H544">
        <v>0</v>
      </c>
      <c r="I544">
        <v>2</v>
      </c>
      <c r="J544">
        <v>19.77008438</v>
      </c>
      <c r="K544">
        <v>14.23107433</v>
      </c>
      <c r="N544">
        <v>0</v>
      </c>
      <c r="O544">
        <v>0</v>
      </c>
    </row>
    <row r="545" spans="1:15">
      <c r="A545">
        <v>-2.3166473679999999</v>
      </c>
      <c r="B545">
        <v>-1.0350315510000001</v>
      </c>
      <c r="C545">
        <v>-1.158323684</v>
      </c>
      <c r="D545">
        <v>-2.3651743999999999</v>
      </c>
      <c r="E545">
        <v>2</v>
      </c>
      <c r="F545">
        <v>32</v>
      </c>
      <c r="G545">
        <v>10</v>
      </c>
      <c r="H545">
        <v>0</v>
      </c>
      <c r="I545">
        <v>0</v>
      </c>
      <c r="J545">
        <v>-8.0820932390000007</v>
      </c>
      <c r="K545">
        <v>3.5001158710000002</v>
      </c>
      <c r="N545">
        <v>0</v>
      </c>
      <c r="O545">
        <v>0</v>
      </c>
    </row>
    <row r="546" spans="1:15">
      <c r="A546">
        <v>-0.49281565399999999</v>
      </c>
      <c r="B546">
        <v>0.117799694</v>
      </c>
      <c r="C546">
        <v>-0.246407827</v>
      </c>
      <c r="D546">
        <v>-0.26297699499999999</v>
      </c>
      <c r="E546">
        <v>3</v>
      </c>
      <c r="F546">
        <v>34</v>
      </c>
      <c r="G546">
        <v>10</v>
      </c>
      <c r="H546">
        <v>1</v>
      </c>
      <c r="I546">
        <v>4</v>
      </c>
      <c r="J546">
        <v>42.944274900000003</v>
      </c>
      <c r="K546">
        <v>14.84310627</v>
      </c>
      <c r="L546">
        <v>14.84310627</v>
      </c>
      <c r="M546">
        <v>2.6975355150000002</v>
      </c>
      <c r="N546">
        <v>1</v>
      </c>
      <c r="O546">
        <v>2.6975355150000002</v>
      </c>
    </row>
    <row r="547" spans="1:15">
      <c r="A547">
        <v>-0.439409934</v>
      </c>
      <c r="B547">
        <v>1.4966432700000001</v>
      </c>
      <c r="C547">
        <v>-0.219704967</v>
      </c>
      <c r="D547">
        <v>0.75437123100000003</v>
      </c>
      <c r="E547">
        <v>4</v>
      </c>
      <c r="F547">
        <v>33</v>
      </c>
      <c r="G547">
        <v>12</v>
      </c>
      <c r="H547">
        <v>1</v>
      </c>
      <c r="I547">
        <v>0</v>
      </c>
      <c r="J547">
        <v>36.252456670000001</v>
      </c>
      <c r="K547">
        <v>16.963541029999998</v>
      </c>
      <c r="L547">
        <v>16.963541029999998</v>
      </c>
      <c r="M547">
        <v>2.8310663699999998</v>
      </c>
      <c r="N547">
        <v>1</v>
      </c>
      <c r="O547">
        <v>2.8310663699999998</v>
      </c>
    </row>
    <row r="548" spans="1:15">
      <c r="A548">
        <v>0.68864355499999996</v>
      </c>
      <c r="B548">
        <v>-1.5194791780000001</v>
      </c>
      <c r="C548">
        <v>0.344321777</v>
      </c>
      <c r="D548">
        <v>-0.59526854699999998</v>
      </c>
      <c r="E548">
        <v>5</v>
      </c>
      <c r="F548">
        <v>34</v>
      </c>
      <c r="G548">
        <v>12</v>
      </c>
      <c r="H548">
        <v>1</v>
      </c>
      <c r="I548">
        <v>0</v>
      </c>
      <c r="J548">
        <v>20.45677757</v>
      </c>
      <c r="K548">
        <v>23.93186188</v>
      </c>
      <c r="N548">
        <v>0</v>
      </c>
      <c r="O548">
        <v>0</v>
      </c>
    </row>
    <row r="549" spans="1:15">
      <c r="A549">
        <v>-0.60572266900000005</v>
      </c>
      <c r="B549">
        <v>0.73384803399999998</v>
      </c>
      <c r="C549">
        <v>-0.30286133399999998</v>
      </c>
      <c r="D549">
        <v>9.5347468000000005E-2</v>
      </c>
      <c r="E549">
        <v>6</v>
      </c>
      <c r="F549">
        <v>32</v>
      </c>
      <c r="G549">
        <v>12</v>
      </c>
      <c r="H549">
        <v>0</v>
      </c>
      <c r="I549">
        <v>1</v>
      </c>
      <c r="J549">
        <v>27.94417</v>
      </c>
      <c r="K549">
        <v>15.7656641</v>
      </c>
      <c r="N549">
        <v>0</v>
      </c>
      <c r="O549">
        <v>0</v>
      </c>
    </row>
    <row r="550" spans="1:15">
      <c r="A550">
        <v>4.8198958E-2</v>
      </c>
      <c r="B550">
        <v>-0.83038182599999999</v>
      </c>
      <c r="C550">
        <v>2.4099479E-2</v>
      </c>
      <c r="D550">
        <v>-0.556146001</v>
      </c>
      <c r="E550">
        <v>7</v>
      </c>
      <c r="F550">
        <v>39</v>
      </c>
      <c r="G550">
        <v>20</v>
      </c>
      <c r="H550">
        <v>1</v>
      </c>
      <c r="I550">
        <v>2</v>
      </c>
      <c r="J550">
        <v>38.926246640000002</v>
      </c>
      <c r="K550">
        <v>29.089193340000001</v>
      </c>
      <c r="L550">
        <v>29.089193340000001</v>
      </c>
      <c r="M550">
        <v>3.3703668119999999</v>
      </c>
      <c r="N550">
        <v>1</v>
      </c>
      <c r="O550">
        <v>3.3703668119999999</v>
      </c>
    </row>
    <row r="551" spans="1:15">
      <c r="A551">
        <v>-0.21411245300000001</v>
      </c>
      <c r="B551">
        <v>1.4098242439999999</v>
      </c>
      <c r="C551">
        <v>-0.107056227</v>
      </c>
      <c r="D551">
        <v>0.85117033399999997</v>
      </c>
      <c r="E551">
        <v>8</v>
      </c>
      <c r="F551">
        <v>37</v>
      </c>
      <c r="G551">
        <v>12</v>
      </c>
      <c r="H551">
        <v>1</v>
      </c>
      <c r="I551">
        <v>3</v>
      </c>
      <c r="J551">
        <v>54.014045719999999</v>
      </c>
      <c r="K551">
        <v>19.115325930000001</v>
      </c>
      <c r="L551">
        <v>19.115325930000001</v>
      </c>
      <c r="M551">
        <v>2.9504904750000001</v>
      </c>
      <c r="N551">
        <v>1</v>
      </c>
      <c r="O551">
        <v>2.9504904750000001</v>
      </c>
    </row>
    <row r="552" spans="1:15">
      <c r="A552">
        <v>2.45573804</v>
      </c>
      <c r="B552">
        <v>0.86082457999999995</v>
      </c>
      <c r="C552">
        <v>1.22786902</v>
      </c>
      <c r="D552">
        <v>2.3392331099999999</v>
      </c>
      <c r="E552">
        <v>9</v>
      </c>
      <c r="F552">
        <v>46</v>
      </c>
      <c r="G552">
        <v>16</v>
      </c>
      <c r="H552">
        <v>1</v>
      </c>
      <c r="I552">
        <v>1</v>
      </c>
      <c r="J552">
        <v>68.470794679999997</v>
      </c>
      <c r="K552">
        <v>40.934429170000001</v>
      </c>
      <c r="L552">
        <v>40.934429170000001</v>
      </c>
      <c r="M552">
        <v>3.7119715210000002</v>
      </c>
      <c r="N552">
        <v>1</v>
      </c>
      <c r="O552">
        <v>3.7119715210000002</v>
      </c>
    </row>
    <row r="553" spans="1:15">
      <c r="A553">
        <v>0.172284874</v>
      </c>
      <c r="B553">
        <v>-0.515923829</v>
      </c>
      <c r="C553">
        <v>8.6142437000000002E-2</v>
      </c>
      <c r="D553">
        <v>-0.245407193</v>
      </c>
      <c r="E553">
        <v>0</v>
      </c>
      <c r="F553">
        <v>26</v>
      </c>
      <c r="G553">
        <v>10</v>
      </c>
      <c r="H553">
        <v>0</v>
      </c>
      <c r="I553">
        <v>1</v>
      </c>
      <c r="J553">
        <v>19.95511436</v>
      </c>
      <c r="K553">
        <v>17.233709340000001</v>
      </c>
      <c r="N553">
        <v>0</v>
      </c>
      <c r="O553">
        <v>0</v>
      </c>
    </row>
    <row r="554" spans="1:15">
      <c r="A554">
        <v>-7.0023538999999996E-2</v>
      </c>
      <c r="B554">
        <v>0.61227889800000002</v>
      </c>
      <c r="C554">
        <v>-3.5011769999999998E-2</v>
      </c>
      <c r="D554">
        <v>0.38581338999999998</v>
      </c>
      <c r="E554">
        <v>1</v>
      </c>
      <c r="F554">
        <v>27</v>
      </c>
      <c r="G554">
        <v>16</v>
      </c>
      <c r="H554">
        <v>1</v>
      </c>
      <c r="I554">
        <v>0</v>
      </c>
      <c r="J554">
        <v>32.42975998</v>
      </c>
      <c r="K554">
        <v>21.979858400000001</v>
      </c>
      <c r="L554">
        <v>21.979858400000001</v>
      </c>
      <c r="M554">
        <v>3.090126514</v>
      </c>
      <c r="N554">
        <v>1</v>
      </c>
      <c r="O554">
        <v>3.090126514</v>
      </c>
    </row>
    <row r="555" spans="1:15">
      <c r="A555">
        <v>1.9187161930000001</v>
      </c>
      <c r="B555">
        <v>-0.45730625699999999</v>
      </c>
      <c r="C555">
        <v>0.95935809599999999</v>
      </c>
      <c r="D555">
        <v>1.02481467</v>
      </c>
      <c r="E555">
        <v>2</v>
      </c>
      <c r="F555">
        <v>25</v>
      </c>
      <c r="G555">
        <v>16</v>
      </c>
      <c r="H555">
        <v>1</v>
      </c>
      <c r="I555">
        <v>0</v>
      </c>
      <c r="J555">
        <v>39.297775270000002</v>
      </c>
      <c r="K555">
        <v>33.51229858</v>
      </c>
      <c r="L555">
        <v>33.51229858</v>
      </c>
      <c r="M555">
        <v>3.5119125840000001</v>
      </c>
      <c r="N555">
        <v>1</v>
      </c>
      <c r="O555">
        <v>3.5119125840000001</v>
      </c>
    </row>
    <row r="556" spans="1:15">
      <c r="A556">
        <v>0.19694800700000001</v>
      </c>
      <c r="B556">
        <v>-0.60431048499999995</v>
      </c>
      <c r="C556">
        <v>9.8474003000000004E-2</v>
      </c>
      <c r="D556">
        <v>-0.29086310599999998</v>
      </c>
      <c r="E556">
        <v>3</v>
      </c>
      <c r="F556">
        <v>33</v>
      </c>
      <c r="G556">
        <v>12</v>
      </c>
      <c r="H556">
        <v>1</v>
      </c>
      <c r="I556">
        <v>0</v>
      </c>
      <c r="J556">
        <v>23.709642410000001</v>
      </c>
      <c r="K556">
        <v>20.781688689999999</v>
      </c>
      <c r="N556">
        <v>0</v>
      </c>
      <c r="O556">
        <v>0</v>
      </c>
    </row>
    <row r="557" spans="1:15">
      <c r="A557">
        <v>1.974035126</v>
      </c>
      <c r="B557">
        <v>-0.69055312000000002</v>
      </c>
      <c r="C557">
        <v>0.98701756299999999</v>
      </c>
      <c r="D557">
        <v>0.89798955499999999</v>
      </c>
      <c r="E557">
        <v>4</v>
      </c>
      <c r="F557">
        <v>28</v>
      </c>
      <c r="G557">
        <v>20</v>
      </c>
      <c r="H557">
        <v>1</v>
      </c>
      <c r="I557">
        <v>2</v>
      </c>
      <c r="J557">
        <v>51.975875850000001</v>
      </c>
      <c r="K557">
        <v>38.444210050000002</v>
      </c>
      <c r="L557">
        <v>38.444210050000002</v>
      </c>
      <c r="M557">
        <v>3.6492080690000002</v>
      </c>
      <c r="N557">
        <v>1</v>
      </c>
      <c r="O557">
        <v>3.6492080690000002</v>
      </c>
    </row>
    <row r="558" spans="1:15">
      <c r="A558">
        <v>-0.165610589</v>
      </c>
      <c r="B558">
        <v>-1.20720549</v>
      </c>
      <c r="C558">
        <v>-8.2805295000000001E-2</v>
      </c>
      <c r="D558">
        <v>-0.97431886499999998</v>
      </c>
      <c r="E558">
        <v>5</v>
      </c>
      <c r="F558">
        <v>30</v>
      </c>
      <c r="G558">
        <v>10</v>
      </c>
      <c r="H558">
        <v>1</v>
      </c>
      <c r="I558">
        <v>0</v>
      </c>
      <c r="J558">
        <v>12.808173180000001</v>
      </c>
      <c r="K558">
        <v>16.006336210000001</v>
      </c>
      <c r="N558">
        <v>0</v>
      </c>
      <c r="O558">
        <v>0</v>
      </c>
    </row>
    <row r="559" spans="1:15">
      <c r="A559">
        <v>8.1076998999999997E-2</v>
      </c>
      <c r="B559">
        <v>-1.002217017</v>
      </c>
      <c r="C559">
        <v>4.0538498999999999E-2</v>
      </c>
      <c r="D559">
        <v>-0.65511979799999998</v>
      </c>
      <c r="E559">
        <v>6</v>
      </c>
      <c r="F559">
        <v>46</v>
      </c>
      <c r="G559">
        <v>16</v>
      </c>
      <c r="H559">
        <v>1</v>
      </c>
      <c r="I559">
        <v>4</v>
      </c>
      <c r="J559">
        <v>47.538562769999999</v>
      </c>
      <c r="K559">
        <v>26.6864624</v>
      </c>
      <c r="L559">
        <v>26.6864624</v>
      </c>
      <c r="M559">
        <v>3.2841563219999999</v>
      </c>
      <c r="N559">
        <v>1</v>
      </c>
      <c r="O559">
        <v>3.2841563219999999</v>
      </c>
    </row>
    <row r="560" spans="1:15">
      <c r="A560">
        <v>1.1927030190000001</v>
      </c>
      <c r="B560">
        <v>-1.321151298</v>
      </c>
      <c r="C560">
        <v>0.59635150999999997</v>
      </c>
      <c r="D560">
        <v>-9.9747888000000007E-2</v>
      </c>
      <c r="E560">
        <v>7</v>
      </c>
      <c r="F560">
        <v>49</v>
      </c>
      <c r="G560">
        <v>16</v>
      </c>
      <c r="H560">
        <v>1</v>
      </c>
      <c r="I560">
        <v>2</v>
      </c>
      <c r="J560">
        <v>45.403026580000002</v>
      </c>
      <c r="K560">
        <v>33.956218720000003</v>
      </c>
      <c r="L560">
        <v>33.956218720000003</v>
      </c>
      <c r="M560">
        <v>3.5250720979999999</v>
      </c>
      <c r="N560">
        <v>1</v>
      </c>
      <c r="O560">
        <v>3.5250720979999999</v>
      </c>
    </row>
    <row r="561" spans="1:15">
      <c r="A561">
        <v>-0.88106060600000002</v>
      </c>
      <c r="B561">
        <v>0.40559176699999999</v>
      </c>
      <c r="C561">
        <v>-0.44053030300000001</v>
      </c>
      <c r="D561">
        <v>-0.33159801100000003</v>
      </c>
      <c r="E561">
        <v>8</v>
      </c>
      <c r="F561">
        <v>48</v>
      </c>
      <c r="G561">
        <v>16</v>
      </c>
      <c r="H561">
        <v>1</v>
      </c>
      <c r="I561">
        <v>1</v>
      </c>
      <c r="J561">
        <v>37.2208252</v>
      </c>
      <c r="K561">
        <v>21.31363678</v>
      </c>
      <c r="L561">
        <v>21.31363678</v>
      </c>
      <c r="M561">
        <v>3.059347153</v>
      </c>
      <c r="N561">
        <v>1</v>
      </c>
      <c r="O561">
        <v>3.059347153</v>
      </c>
    </row>
    <row r="562" spans="1:15">
      <c r="A562">
        <v>0.12834818100000001</v>
      </c>
      <c r="B562">
        <v>-1.7287955020000001</v>
      </c>
      <c r="C562">
        <v>6.4174090000000003E-2</v>
      </c>
      <c r="D562">
        <v>-1.138157887</v>
      </c>
      <c r="E562">
        <v>9</v>
      </c>
      <c r="F562">
        <v>41</v>
      </c>
      <c r="G562">
        <v>16</v>
      </c>
      <c r="H562">
        <v>1</v>
      </c>
      <c r="I562">
        <v>4</v>
      </c>
      <c r="J562">
        <v>39.742103579999998</v>
      </c>
      <c r="K562">
        <v>25.970088959999998</v>
      </c>
      <c r="L562">
        <v>25.970088959999998</v>
      </c>
      <c r="M562">
        <v>3.2569453720000001</v>
      </c>
      <c r="N562">
        <v>1</v>
      </c>
      <c r="O562">
        <v>3.2569453720000001</v>
      </c>
    </row>
    <row r="563" spans="1:15">
      <c r="A563">
        <v>0.72266808999999999</v>
      </c>
      <c r="B563">
        <v>9.6978350000000001E-3</v>
      </c>
      <c r="C563">
        <v>0.36133404499999999</v>
      </c>
      <c r="D563">
        <v>0.51526945000000002</v>
      </c>
      <c r="E563">
        <v>0</v>
      </c>
      <c r="F563">
        <v>23</v>
      </c>
      <c r="G563">
        <v>10</v>
      </c>
      <c r="H563">
        <v>1</v>
      </c>
      <c r="I563">
        <v>2</v>
      </c>
      <c r="J563">
        <v>37.883232120000002</v>
      </c>
      <c r="K563">
        <v>19.936008449999999</v>
      </c>
      <c r="L563">
        <v>19.936008449999999</v>
      </c>
      <c r="M563">
        <v>2.9925274850000001</v>
      </c>
      <c r="N563">
        <v>1</v>
      </c>
      <c r="O563">
        <v>2.9925274850000001</v>
      </c>
    </row>
    <row r="564" spans="1:15">
      <c r="A564">
        <v>0.26519296999999997</v>
      </c>
      <c r="B564">
        <v>-0.51500277800000005</v>
      </c>
      <c r="C564">
        <v>0.13259648499999999</v>
      </c>
      <c r="D564">
        <v>-0.179394263</v>
      </c>
      <c r="E564">
        <v>1</v>
      </c>
      <c r="F564">
        <v>22</v>
      </c>
      <c r="G564">
        <v>10</v>
      </c>
      <c r="H564">
        <v>0</v>
      </c>
      <c r="I564">
        <v>0</v>
      </c>
      <c r="J564">
        <v>14.147269250000001</v>
      </c>
      <c r="K564">
        <v>16.991157529999999</v>
      </c>
      <c r="N564">
        <v>0</v>
      </c>
      <c r="O564">
        <v>0</v>
      </c>
    </row>
    <row r="565" spans="1:15">
      <c r="A565">
        <v>-0.97844095399999997</v>
      </c>
      <c r="B565">
        <v>-1.524833281</v>
      </c>
      <c r="C565">
        <v>-0.48922047699999999</v>
      </c>
      <c r="D565">
        <v>-1.7718240199999999</v>
      </c>
      <c r="E565">
        <v>2</v>
      </c>
      <c r="F565">
        <v>24</v>
      </c>
      <c r="G565">
        <v>16</v>
      </c>
      <c r="H565">
        <v>1</v>
      </c>
      <c r="I565">
        <v>1</v>
      </c>
      <c r="J565">
        <v>10.33811188</v>
      </c>
      <c r="K565">
        <v>15.92935467</v>
      </c>
      <c r="N565">
        <v>0</v>
      </c>
      <c r="O565">
        <v>0</v>
      </c>
    </row>
    <row r="566" spans="1:15">
      <c r="A566">
        <v>0.59923575900000003</v>
      </c>
      <c r="B566">
        <v>-0.10057656600000001</v>
      </c>
      <c r="C566">
        <v>0.29961788</v>
      </c>
      <c r="D566">
        <v>0.35007920399999998</v>
      </c>
      <c r="E566">
        <v>3</v>
      </c>
      <c r="F566">
        <v>27</v>
      </c>
      <c r="G566">
        <v>12</v>
      </c>
      <c r="H566">
        <v>1</v>
      </c>
      <c r="I566">
        <v>3</v>
      </c>
      <c r="J566">
        <v>44.000949859999999</v>
      </c>
      <c r="K566">
        <v>21.99541473</v>
      </c>
      <c r="L566">
        <v>21.99541473</v>
      </c>
      <c r="M566">
        <v>3.090833902</v>
      </c>
      <c r="N566">
        <v>1</v>
      </c>
      <c r="O566">
        <v>3.090833902</v>
      </c>
    </row>
    <row r="567" spans="1:15">
      <c r="A567">
        <v>0.55546364299999995</v>
      </c>
      <c r="B567">
        <v>0.11663796999999999</v>
      </c>
      <c r="C567">
        <v>0.27773182099999999</v>
      </c>
      <c r="D567">
        <v>0.473634956</v>
      </c>
      <c r="E567">
        <v>4</v>
      </c>
      <c r="F567">
        <v>31</v>
      </c>
      <c r="G567">
        <v>16</v>
      </c>
      <c r="H567">
        <v>0</v>
      </c>
      <c r="I567">
        <v>3</v>
      </c>
      <c r="J567">
        <v>45.08361816</v>
      </c>
      <c r="K567">
        <v>26.5327816</v>
      </c>
      <c r="L567">
        <v>26.5327816</v>
      </c>
      <c r="M567">
        <v>3.2783811090000001</v>
      </c>
      <c r="N567">
        <v>1</v>
      </c>
      <c r="O567">
        <v>3.2783811090000001</v>
      </c>
    </row>
    <row r="568" spans="1:15">
      <c r="A568">
        <v>-0.62950114300000004</v>
      </c>
      <c r="B568">
        <v>-0.43021270099999998</v>
      </c>
      <c r="C568">
        <v>-0.31475057200000001</v>
      </c>
      <c r="D568">
        <v>-0.74853836299999998</v>
      </c>
      <c r="E568">
        <v>5</v>
      </c>
      <c r="F568">
        <v>31</v>
      </c>
      <c r="G568">
        <v>10</v>
      </c>
      <c r="H568">
        <v>1</v>
      </c>
      <c r="I568">
        <v>1</v>
      </c>
      <c r="J568">
        <v>20.917539600000001</v>
      </c>
      <c r="K568">
        <v>13.422992710000001</v>
      </c>
      <c r="N568">
        <v>0</v>
      </c>
      <c r="O568">
        <v>0</v>
      </c>
    </row>
    <row r="569" spans="1:15">
      <c r="A569">
        <v>-0.46147560700000001</v>
      </c>
      <c r="B569">
        <v>0.21950832000000001</v>
      </c>
      <c r="C569">
        <v>-0.23073780399999999</v>
      </c>
      <c r="D569">
        <v>-0.16865796399999999</v>
      </c>
      <c r="E569">
        <v>6</v>
      </c>
      <c r="F569">
        <v>32</v>
      </c>
      <c r="G569">
        <v>10</v>
      </c>
      <c r="H569">
        <v>1</v>
      </c>
      <c r="I569">
        <v>1</v>
      </c>
      <c r="J569">
        <v>28.276103970000001</v>
      </c>
      <c r="K569">
        <v>14.631146429999999</v>
      </c>
      <c r="N569">
        <v>0</v>
      </c>
      <c r="O569">
        <v>0</v>
      </c>
    </row>
    <row r="570" spans="1:15">
      <c r="A570">
        <v>-1.915635E-3</v>
      </c>
      <c r="B570">
        <v>-0.34610044600000001</v>
      </c>
      <c r="C570">
        <v>-9.5781800000000004E-4</v>
      </c>
      <c r="D570">
        <v>-0.24727965800000001</v>
      </c>
      <c r="E570">
        <v>7</v>
      </c>
      <c r="F570">
        <v>46</v>
      </c>
      <c r="G570">
        <v>16</v>
      </c>
      <c r="H570">
        <v>1</v>
      </c>
      <c r="I570">
        <v>1</v>
      </c>
      <c r="J570">
        <v>37.432643890000001</v>
      </c>
      <c r="K570">
        <v>26.188507080000001</v>
      </c>
      <c r="L570">
        <v>26.188507080000001</v>
      </c>
      <c r="M570">
        <v>3.2653205390000002</v>
      </c>
      <c r="N570">
        <v>1</v>
      </c>
      <c r="O570">
        <v>3.2653205390000002</v>
      </c>
    </row>
    <row r="571" spans="1:15">
      <c r="A571">
        <v>-0.71688577499999995</v>
      </c>
      <c r="B571">
        <v>-1.4652167300000001</v>
      </c>
      <c r="C571">
        <v>-0.35844288699999999</v>
      </c>
      <c r="D571">
        <v>-1.545464368</v>
      </c>
      <c r="E571">
        <v>8</v>
      </c>
      <c r="F571">
        <v>39</v>
      </c>
      <c r="G571">
        <v>16</v>
      </c>
      <c r="H571">
        <v>1</v>
      </c>
      <c r="I571">
        <v>1</v>
      </c>
      <c r="J571">
        <v>19.054428099999999</v>
      </c>
      <c r="K571">
        <v>20.49868584</v>
      </c>
      <c r="N571">
        <v>0</v>
      </c>
      <c r="O571">
        <v>0</v>
      </c>
    </row>
    <row r="572" spans="1:15">
      <c r="A572">
        <v>-1.603140148</v>
      </c>
      <c r="B572">
        <v>-1.3481186359999999</v>
      </c>
      <c r="C572">
        <v>-0.80157007400000002</v>
      </c>
      <c r="D572">
        <v>-2.0857138970000002</v>
      </c>
      <c r="E572">
        <v>9</v>
      </c>
      <c r="F572">
        <v>39</v>
      </c>
      <c r="G572">
        <v>12</v>
      </c>
      <c r="H572">
        <v>1</v>
      </c>
      <c r="I572">
        <v>2</v>
      </c>
      <c r="J572">
        <v>14.571433069999999</v>
      </c>
      <c r="K572">
        <v>11.181159020000001</v>
      </c>
      <c r="N572">
        <v>0</v>
      </c>
      <c r="O572">
        <v>0</v>
      </c>
    </row>
    <row r="573" spans="1:15">
      <c r="A573">
        <v>-0.37476172499999999</v>
      </c>
      <c r="B573">
        <v>-2.5335229000000001E-2</v>
      </c>
      <c r="C573">
        <v>-0.18738086200000001</v>
      </c>
      <c r="D573">
        <v>-0.28163791399999999</v>
      </c>
      <c r="E573">
        <v>0</v>
      </c>
      <c r="F573">
        <v>23</v>
      </c>
      <c r="G573">
        <v>12</v>
      </c>
      <c r="H573">
        <v>1</v>
      </c>
      <c r="I573">
        <v>0</v>
      </c>
      <c r="J573">
        <v>19.82034492</v>
      </c>
      <c r="K573">
        <v>15.351429939999999</v>
      </c>
      <c r="N573">
        <v>0</v>
      </c>
      <c r="O573">
        <v>0</v>
      </c>
    </row>
    <row r="574" spans="1:15">
      <c r="A574">
        <v>-0.24154927100000001</v>
      </c>
      <c r="B574">
        <v>-0.78889636399999996</v>
      </c>
      <c r="C574">
        <v>-0.12077463500000001</v>
      </c>
      <c r="D574">
        <v>-0.73049766599999999</v>
      </c>
      <c r="E574">
        <v>1</v>
      </c>
      <c r="F574">
        <v>23</v>
      </c>
      <c r="G574">
        <v>10</v>
      </c>
      <c r="H574">
        <v>1</v>
      </c>
      <c r="I574">
        <v>1</v>
      </c>
      <c r="J574">
        <v>17.93402863</v>
      </c>
      <c r="K574">
        <v>14.150704380000001</v>
      </c>
      <c r="N574">
        <v>0</v>
      </c>
      <c r="O574">
        <v>0</v>
      </c>
    </row>
    <row r="575" spans="1:15">
      <c r="A575">
        <v>-1.019015607</v>
      </c>
      <c r="B575">
        <v>1.5046557030000001</v>
      </c>
      <c r="C575">
        <v>-0.50950780399999995</v>
      </c>
      <c r="D575">
        <v>0.35232706499999999</v>
      </c>
      <c r="E575">
        <v>2</v>
      </c>
      <c r="F575">
        <v>31</v>
      </c>
      <c r="G575">
        <v>12</v>
      </c>
      <c r="H575">
        <v>0</v>
      </c>
      <c r="I575">
        <v>4</v>
      </c>
      <c r="J575">
        <v>45.627925869999999</v>
      </c>
      <c r="K575">
        <v>13.08590603</v>
      </c>
      <c r="L575">
        <v>13.08590603</v>
      </c>
      <c r="M575">
        <v>2.5715358259999999</v>
      </c>
      <c r="N575">
        <v>1</v>
      </c>
      <c r="O575">
        <v>2.5715358259999999</v>
      </c>
    </row>
    <row r="576" spans="1:15">
      <c r="A576">
        <v>0.80171681500000003</v>
      </c>
      <c r="B576">
        <v>0.37621569300000002</v>
      </c>
      <c r="C576">
        <v>0.400858408</v>
      </c>
      <c r="D576">
        <v>0.83131845199999999</v>
      </c>
      <c r="E576">
        <v>3</v>
      </c>
      <c r="F576">
        <v>26</v>
      </c>
      <c r="G576">
        <v>20</v>
      </c>
      <c r="H576">
        <v>1</v>
      </c>
      <c r="I576">
        <v>0</v>
      </c>
      <c r="J576">
        <v>40.375820160000004</v>
      </c>
      <c r="K576">
        <v>31.010301590000001</v>
      </c>
      <c r="L576">
        <v>31.010301590000001</v>
      </c>
      <c r="M576">
        <v>3.4343194960000001</v>
      </c>
      <c r="N576">
        <v>1</v>
      </c>
      <c r="O576">
        <v>3.4343194960000001</v>
      </c>
    </row>
    <row r="577" spans="1:15">
      <c r="A577">
        <v>0.42077801100000001</v>
      </c>
      <c r="B577">
        <v>1.3897937339999999</v>
      </c>
      <c r="C577">
        <v>0.21038900499999999</v>
      </c>
      <c r="D577">
        <v>1.2835661199999999</v>
      </c>
      <c r="E577">
        <v>4</v>
      </c>
      <c r="F577">
        <v>47</v>
      </c>
      <c r="G577">
        <v>12</v>
      </c>
      <c r="H577">
        <v>1</v>
      </c>
      <c r="I577">
        <v>1</v>
      </c>
      <c r="J577">
        <v>53.202793120000003</v>
      </c>
      <c r="K577">
        <v>24.924667360000001</v>
      </c>
      <c r="L577">
        <v>24.924667360000001</v>
      </c>
      <c r="M577">
        <v>3.2158579829999998</v>
      </c>
      <c r="N577">
        <v>1</v>
      </c>
      <c r="O577">
        <v>3.2158579829999998</v>
      </c>
    </row>
    <row r="578" spans="1:15">
      <c r="A578">
        <v>0.51697831699999997</v>
      </c>
      <c r="B578">
        <v>-0.60045166500000002</v>
      </c>
      <c r="C578">
        <v>0.258489158</v>
      </c>
      <c r="D578">
        <v>-6.2988036999999997E-2</v>
      </c>
      <c r="E578">
        <v>5</v>
      </c>
      <c r="F578">
        <v>45</v>
      </c>
      <c r="G578">
        <v>10</v>
      </c>
      <c r="H578">
        <v>1</v>
      </c>
      <c r="I578">
        <v>4</v>
      </c>
      <c r="J578">
        <v>49.744144439999999</v>
      </c>
      <c r="K578">
        <v>23.101869579999999</v>
      </c>
      <c r="L578">
        <v>23.101869579999999</v>
      </c>
      <c r="M578">
        <v>3.139913559</v>
      </c>
      <c r="N578">
        <v>1</v>
      </c>
      <c r="O578">
        <v>3.139913559</v>
      </c>
    </row>
    <row r="579" spans="1:15">
      <c r="A579">
        <v>-0.88343710499999994</v>
      </c>
      <c r="B579">
        <v>-0.69057909299999998</v>
      </c>
      <c r="C579">
        <v>-0.44171855300000001</v>
      </c>
      <c r="D579">
        <v>-1.1121869150000001</v>
      </c>
      <c r="E579">
        <v>6</v>
      </c>
      <c r="F579">
        <v>32</v>
      </c>
      <c r="G579">
        <v>12</v>
      </c>
      <c r="H579">
        <v>1</v>
      </c>
      <c r="I579">
        <v>0</v>
      </c>
      <c r="J579">
        <v>13.45375729</v>
      </c>
      <c r="K579">
        <v>14.099377629999999</v>
      </c>
      <c r="N579">
        <v>0</v>
      </c>
      <c r="O579">
        <v>0</v>
      </c>
    </row>
    <row r="580" spans="1:15">
      <c r="A580">
        <v>0.641971242</v>
      </c>
      <c r="B580">
        <v>1.484872027</v>
      </c>
      <c r="C580">
        <v>0.320985621</v>
      </c>
      <c r="D580">
        <v>1.5067305879999999</v>
      </c>
      <c r="E580">
        <v>7</v>
      </c>
      <c r="F580">
        <v>41</v>
      </c>
      <c r="G580">
        <v>12</v>
      </c>
      <c r="H580">
        <v>1</v>
      </c>
      <c r="I580">
        <v>3</v>
      </c>
      <c r="J580">
        <v>63.480766299999999</v>
      </c>
      <c r="K580">
        <v>25.05182838</v>
      </c>
      <c r="L580">
        <v>25.05182838</v>
      </c>
      <c r="M580">
        <v>3.2209467890000001</v>
      </c>
      <c r="N580">
        <v>1</v>
      </c>
      <c r="O580">
        <v>3.2209467890000001</v>
      </c>
    </row>
    <row r="581" spans="1:15">
      <c r="A581">
        <v>2.9841052999999999E-2</v>
      </c>
      <c r="B581">
        <v>0.891272124</v>
      </c>
      <c r="C581">
        <v>1.4920526E-2</v>
      </c>
      <c r="D581">
        <v>0.65431256400000004</v>
      </c>
      <c r="E581">
        <v>8</v>
      </c>
      <c r="F581">
        <v>36</v>
      </c>
      <c r="G581">
        <v>16</v>
      </c>
      <c r="H581">
        <v>1</v>
      </c>
      <c r="I581">
        <v>0</v>
      </c>
      <c r="J581">
        <v>39.251750950000002</v>
      </c>
      <c r="K581">
        <v>24.379045489999999</v>
      </c>
      <c r="L581">
        <v>24.379045489999999</v>
      </c>
      <c r="M581">
        <v>3.1937239169999998</v>
      </c>
      <c r="N581">
        <v>1</v>
      </c>
      <c r="O581">
        <v>3.1937239169999998</v>
      </c>
    </row>
    <row r="582" spans="1:15">
      <c r="A582">
        <v>-1.703469323</v>
      </c>
      <c r="B582">
        <v>1.232690732</v>
      </c>
      <c r="C582">
        <v>-0.85173466099999995</v>
      </c>
      <c r="D582">
        <v>-0.32242134300000003</v>
      </c>
      <c r="E582">
        <v>9</v>
      </c>
      <c r="F582">
        <v>46</v>
      </c>
      <c r="G582">
        <v>12</v>
      </c>
      <c r="H582">
        <v>1</v>
      </c>
      <c r="I582">
        <v>3</v>
      </c>
      <c r="J582">
        <v>43.530944820000002</v>
      </c>
      <c r="K582">
        <v>11.97918415</v>
      </c>
      <c r="L582">
        <v>11.97918415</v>
      </c>
      <c r="M582">
        <v>2.4831705089999998</v>
      </c>
      <c r="N582">
        <v>1</v>
      </c>
      <c r="O582">
        <v>2.4831705089999998</v>
      </c>
    </row>
    <row r="583" spans="1:15">
      <c r="A583">
        <v>7.7381267000000004E-2</v>
      </c>
      <c r="B583">
        <v>-1.1918942960000001</v>
      </c>
      <c r="C583">
        <v>3.8690634000000002E-2</v>
      </c>
      <c r="D583">
        <v>-0.79250053300000001</v>
      </c>
      <c r="E583">
        <v>0</v>
      </c>
      <c r="F583">
        <v>22</v>
      </c>
      <c r="G583">
        <v>10</v>
      </c>
      <c r="H583">
        <v>0</v>
      </c>
      <c r="I583">
        <v>3</v>
      </c>
      <c r="J583">
        <v>21.789993290000002</v>
      </c>
      <c r="K583">
        <v>15.86428738</v>
      </c>
      <c r="N583">
        <v>0</v>
      </c>
      <c r="O583">
        <v>0</v>
      </c>
    </row>
    <row r="584" spans="1:15">
      <c r="A584">
        <v>1.7558826460000001</v>
      </c>
      <c r="B584">
        <v>-0.51020313699999997</v>
      </c>
      <c r="C584">
        <v>0.87794132300000005</v>
      </c>
      <c r="D584">
        <v>0.87267800399999995</v>
      </c>
      <c r="E584">
        <v>1</v>
      </c>
      <c r="F584">
        <v>23</v>
      </c>
      <c r="G584">
        <v>10</v>
      </c>
      <c r="H584">
        <v>0</v>
      </c>
      <c r="I584">
        <v>1</v>
      </c>
      <c r="J584">
        <v>32.172134399999997</v>
      </c>
      <c r="K584">
        <v>26.13529587</v>
      </c>
      <c r="L584">
        <v>26.13529587</v>
      </c>
      <c r="M584">
        <v>3.2632868290000001</v>
      </c>
      <c r="N584">
        <v>1</v>
      </c>
      <c r="O584">
        <v>3.2632868290000001</v>
      </c>
    </row>
    <row r="585" spans="1:15">
      <c r="A585">
        <v>-1.3585420429999999</v>
      </c>
      <c r="B585">
        <v>1.1235068829999999</v>
      </c>
      <c r="C585">
        <v>-0.67927102100000003</v>
      </c>
      <c r="D585">
        <v>-0.15735775799999999</v>
      </c>
      <c r="E585">
        <v>2</v>
      </c>
      <c r="F585">
        <v>37</v>
      </c>
      <c r="G585">
        <v>12</v>
      </c>
      <c r="H585">
        <v>0</v>
      </c>
      <c r="I585">
        <v>2</v>
      </c>
      <c r="J585">
        <v>31.91170692</v>
      </c>
      <c r="K585">
        <v>12.248747829999999</v>
      </c>
      <c r="L585">
        <v>12.248747829999999</v>
      </c>
      <c r="M585">
        <v>2.505423784</v>
      </c>
      <c r="N585">
        <v>1</v>
      </c>
      <c r="O585">
        <v>2.505423784</v>
      </c>
    </row>
    <row r="586" spans="1:15">
      <c r="A586">
        <v>-1.9869524999999999E-2</v>
      </c>
      <c r="B586">
        <v>-0.33665873600000001</v>
      </c>
      <c r="C586">
        <v>-9.9347619999999998E-3</v>
      </c>
      <c r="D586">
        <v>-0.25320066499999999</v>
      </c>
      <c r="E586">
        <v>3</v>
      </c>
      <c r="F586">
        <v>31</v>
      </c>
      <c r="G586">
        <v>12</v>
      </c>
      <c r="H586">
        <v>0</v>
      </c>
      <c r="I586">
        <v>0</v>
      </c>
      <c r="J586">
        <v>18.36159134</v>
      </c>
      <c r="K586">
        <v>19.080781940000001</v>
      </c>
      <c r="N586">
        <v>0</v>
      </c>
      <c r="O586">
        <v>0</v>
      </c>
    </row>
    <row r="587" spans="1:15">
      <c r="A587">
        <v>-0.46079567100000002</v>
      </c>
      <c r="B587">
        <v>0.132822465</v>
      </c>
      <c r="C587">
        <v>-0.23039783599999999</v>
      </c>
      <c r="D587">
        <v>-0.22977688199999999</v>
      </c>
      <c r="E587">
        <v>4</v>
      </c>
      <c r="F587">
        <v>33</v>
      </c>
      <c r="G587">
        <v>10</v>
      </c>
      <c r="H587">
        <v>1</v>
      </c>
      <c r="I587">
        <v>2</v>
      </c>
      <c r="J587">
        <v>32.942676540000001</v>
      </c>
      <c r="K587">
        <v>14.83522606</v>
      </c>
      <c r="L587">
        <v>14.83522606</v>
      </c>
      <c r="M587">
        <v>2.6970045570000001</v>
      </c>
      <c r="N587">
        <v>1</v>
      </c>
      <c r="O587">
        <v>2.6970045570000001</v>
      </c>
    </row>
    <row r="588" spans="1:15">
      <c r="A588">
        <v>-0.98519310800000004</v>
      </c>
      <c r="B588">
        <v>0.79789210200000005</v>
      </c>
      <c r="C588">
        <v>-0.49259655400000002</v>
      </c>
      <c r="D588">
        <v>-0.12609176499999999</v>
      </c>
      <c r="E588">
        <v>5</v>
      </c>
      <c r="F588">
        <v>40</v>
      </c>
      <c r="G588">
        <v>10</v>
      </c>
      <c r="H588">
        <v>1</v>
      </c>
      <c r="I588">
        <v>4</v>
      </c>
      <c r="J588">
        <v>46.986900329999997</v>
      </c>
      <c r="K588">
        <v>13.088841439999999</v>
      </c>
      <c r="L588">
        <v>13.088841439999999</v>
      </c>
      <c r="M588">
        <v>2.5717601779999999</v>
      </c>
      <c r="N588">
        <v>1</v>
      </c>
      <c r="O588">
        <v>2.5717601779999999</v>
      </c>
    </row>
    <row r="589" spans="1:15">
      <c r="A589">
        <v>0.70559961999999998</v>
      </c>
      <c r="B589">
        <v>-1.0386712170000001</v>
      </c>
      <c r="C589">
        <v>0.35279980999999999</v>
      </c>
      <c r="D589">
        <v>-0.241687868</v>
      </c>
      <c r="E589">
        <v>6</v>
      </c>
      <c r="F589">
        <v>35</v>
      </c>
      <c r="G589">
        <v>16</v>
      </c>
      <c r="H589">
        <v>1</v>
      </c>
      <c r="I589">
        <v>3</v>
      </c>
      <c r="J589">
        <v>43.099746699999997</v>
      </c>
      <c r="K589">
        <v>28.233596800000001</v>
      </c>
      <c r="L589">
        <v>28.233596800000001</v>
      </c>
      <c r="M589">
        <v>3.3405127530000001</v>
      </c>
      <c r="N589">
        <v>1</v>
      </c>
      <c r="O589">
        <v>3.3405127530000001</v>
      </c>
    </row>
    <row r="590" spans="1:15">
      <c r="A590">
        <v>-1.7475032049999999</v>
      </c>
      <c r="B590">
        <v>0.67131275000000001</v>
      </c>
      <c r="C590">
        <v>-0.87375160200000002</v>
      </c>
      <c r="D590">
        <v>-0.75230201399999996</v>
      </c>
      <c r="E590">
        <v>7</v>
      </c>
      <c r="F590">
        <v>44</v>
      </c>
      <c r="G590">
        <v>16</v>
      </c>
      <c r="H590">
        <v>1</v>
      </c>
      <c r="I590">
        <v>1</v>
      </c>
      <c r="J590">
        <v>30.572376250000001</v>
      </c>
      <c r="K590">
        <v>15.31498051</v>
      </c>
      <c r="L590">
        <v>15.31498051</v>
      </c>
      <c r="M590">
        <v>2.7288315299999999</v>
      </c>
      <c r="N590">
        <v>1</v>
      </c>
      <c r="O590">
        <v>2.7288315299999999</v>
      </c>
    </row>
    <row r="591" spans="1:15">
      <c r="A591">
        <v>-0.58902295699999996</v>
      </c>
      <c r="B591">
        <v>1.149197128</v>
      </c>
      <c r="C591">
        <v>-0.29451147900000002</v>
      </c>
      <c r="D591">
        <v>0.40223404600000001</v>
      </c>
      <c r="E591">
        <v>8</v>
      </c>
      <c r="F591">
        <v>38</v>
      </c>
      <c r="G591">
        <v>12</v>
      </c>
      <c r="H591">
        <v>1</v>
      </c>
      <c r="I591">
        <v>3</v>
      </c>
      <c r="J591">
        <v>49.02680969</v>
      </c>
      <c r="K591">
        <v>17.065862660000001</v>
      </c>
      <c r="L591">
        <v>17.065862660000001</v>
      </c>
      <c r="M591">
        <v>2.8370802400000001</v>
      </c>
      <c r="N591">
        <v>1</v>
      </c>
      <c r="O591">
        <v>2.8370802400000001</v>
      </c>
    </row>
    <row r="592" spans="1:15">
      <c r="A592">
        <v>1.9685744970000001</v>
      </c>
      <c r="B592">
        <v>0.25266528799999999</v>
      </c>
      <c r="C592">
        <v>0.984287248</v>
      </c>
      <c r="D592">
        <v>1.5643802870000001</v>
      </c>
      <c r="E592">
        <v>9</v>
      </c>
      <c r="F592">
        <v>40</v>
      </c>
      <c r="G592">
        <v>20</v>
      </c>
      <c r="H592">
        <v>1</v>
      </c>
      <c r="I592">
        <v>0</v>
      </c>
      <c r="J592">
        <v>54.772563929999997</v>
      </c>
      <c r="K592">
        <v>40.811447139999999</v>
      </c>
      <c r="L592">
        <v>40.811447139999999</v>
      </c>
      <c r="M592">
        <v>3.7089626789999999</v>
      </c>
      <c r="N592">
        <v>1</v>
      </c>
      <c r="O592">
        <v>3.7089626789999999</v>
      </c>
    </row>
    <row r="593" spans="1:15">
      <c r="A593">
        <v>-0.431112206</v>
      </c>
      <c r="B593">
        <v>-0.33580837200000002</v>
      </c>
      <c r="C593">
        <v>-0.215556103</v>
      </c>
      <c r="D593">
        <v>-0.54189503299999997</v>
      </c>
      <c r="E593">
        <v>0</v>
      </c>
      <c r="F593">
        <v>25</v>
      </c>
      <c r="G593">
        <v>10</v>
      </c>
      <c r="H593">
        <v>0</v>
      </c>
      <c r="I593">
        <v>2</v>
      </c>
      <c r="J593">
        <v>20.997259140000001</v>
      </c>
      <c r="K593">
        <v>13.413327219999999</v>
      </c>
      <c r="N593">
        <v>0</v>
      </c>
      <c r="O593">
        <v>0</v>
      </c>
    </row>
    <row r="594" spans="1:15">
      <c r="A594">
        <v>1.8955678279999999</v>
      </c>
      <c r="B594">
        <v>0.53834212199999998</v>
      </c>
      <c r="C594">
        <v>0.94778391399999995</v>
      </c>
      <c r="D594">
        <v>1.7160182260000001</v>
      </c>
      <c r="E594">
        <v>1</v>
      </c>
      <c r="F594">
        <v>39</v>
      </c>
      <c r="G594">
        <v>10</v>
      </c>
      <c r="H594">
        <v>0</v>
      </c>
      <c r="I594">
        <v>3</v>
      </c>
      <c r="J594">
        <v>58.692218779999997</v>
      </c>
      <c r="K594">
        <v>30.1734066</v>
      </c>
      <c r="L594">
        <v>30.1734066</v>
      </c>
      <c r="M594">
        <v>3.406960964</v>
      </c>
      <c r="N594">
        <v>1</v>
      </c>
      <c r="O594">
        <v>3.406960964</v>
      </c>
    </row>
    <row r="595" spans="1:15">
      <c r="A595">
        <v>9.6496949999999998E-2</v>
      </c>
      <c r="B595">
        <v>0.88944528</v>
      </c>
      <c r="C595">
        <v>4.8248474999999999E-2</v>
      </c>
      <c r="D595">
        <v>0.69990514999999998</v>
      </c>
      <c r="E595">
        <v>2</v>
      </c>
      <c r="F595">
        <v>25</v>
      </c>
      <c r="G595">
        <v>10</v>
      </c>
      <c r="H595">
        <v>0</v>
      </c>
      <c r="I595">
        <v>2</v>
      </c>
      <c r="J595">
        <v>35.898860929999998</v>
      </c>
      <c r="K595">
        <v>16.5789814</v>
      </c>
      <c r="L595">
        <v>16.5789814</v>
      </c>
      <c r="M595">
        <v>2.8081357480000002</v>
      </c>
      <c r="N595">
        <v>1</v>
      </c>
      <c r="O595">
        <v>2.8081357480000002</v>
      </c>
    </row>
    <row r="596" spans="1:15">
      <c r="A596">
        <v>0.30294675399999998</v>
      </c>
      <c r="B596">
        <v>-0.308066695</v>
      </c>
      <c r="C596">
        <v>0.15147337699999999</v>
      </c>
      <c r="D596">
        <v>-5.7908070000000002E-3</v>
      </c>
      <c r="E596">
        <v>3</v>
      </c>
      <c r="F596">
        <v>32</v>
      </c>
      <c r="G596">
        <v>12</v>
      </c>
      <c r="H596">
        <v>0</v>
      </c>
      <c r="I596">
        <v>3</v>
      </c>
      <c r="J596">
        <v>36.730510709999997</v>
      </c>
      <c r="K596">
        <v>21.21767998</v>
      </c>
      <c r="L596">
        <v>21.21767998</v>
      </c>
      <c r="M596">
        <v>3.0548348430000001</v>
      </c>
      <c r="N596">
        <v>1</v>
      </c>
      <c r="O596">
        <v>3.0548348430000001</v>
      </c>
    </row>
    <row r="597" spans="1:15">
      <c r="A597">
        <v>-0.56288858399999997</v>
      </c>
      <c r="B597">
        <v>0.20226596599999999</v>
      </c>
      <c r="C597">
        <v>-0.28144429199999998</v>
      </c>
      <c r="D597">
        <v>-0.25225144900000002</v>
      </c>
      <c r="E597">
        <v>4</v>
      </c>
      <c r="F597">
        <v>36</v>
      </c>
      <c r="G597">
        <v>10</v>
      </c>
      <c r="H597">
        <v>0</v>
      </c>
      <c r="I597">
        <v>4</v>
      </c>
      <c r="J597">
        <v>38.872982030000003</v>
      </c>
      <c r="K597">
        <v>14.82266808</v>
      </c>
      <c r="L597">
        <v>14.82266808</v>
      </c>
      <c r="M597">
        <v>2.696157694</v>
      </c>
      <c r="N597">
        <v>1</v>
      </c>
      <c r="O597">
        <v>2.696157694</v>
      </c>
    </row>
    <row r="598" spans="1:15">
      <c r="A598">
        <v>0.854757192</v>
      </c>
      <c r="B598">
        <v>-1.134831656</v>
      </c>
      <c r="C598">
        <v>0.427378596</v>
      </c>
      <c r="D598">
        <v>-0.205089048</v>
      </c>
      <c r="E598">
        <v>5</v>
      </c>
      <c r="F598">
        <v>34</v>
      </c>
      <c r="G598">
        <v>12</v>
      </c>
      <c r="H598">
        <v>0</v>
      </c>
      <c r="I598">
        <v>4</v>
      </c>
      <c r="J598">
        <v>40.13893127</v>
      </c>
      <c r="K598">
        <v>24.928543090000002</v>
      </c>
      <c r="L598">
        <v>24.928543090000002</v>
      </c>
      <c r="M598">
        <v>3.216013432</v>
      </c>
      <c r="N598">
        <v>1</v>
      </c>
      <c r="O598">
        <v>3.216013432</v>
      </c>
    </row>
    <row r="599" spans="1:15">
      <c r="A599">
        <v>-0.53349831000000003</v>
      </c>
      <c r="B599">
        <v>0.77240609599999999</v>
      </c>
      <c r="C599">
        <v>-0.26674915500000002</v>
      </c>
      <c r="D599">
        <v>0.173554029</v>
      </c>
      <c r="E599">
        <v>6</v>
      </c>
      <c r="F599">
        <v>39</v>
      </c>
      <c r="G599">
        <v>16</v>
      </c>
      <c r="H599">
        <v>1</v>
      </c>
      <c r="I599">
        <v>2</v>
      </c>
      <c r="J599">
        <v>44.682647709999998</v>
      </c>
      <c r="K599">
        <v>21.59901047</v>
      </c>
      <c r="L599">
        <v>21.59901047</v>
      </c>
      <c r="M599">
        <v>3.0726475720000002</v>
      </c>
      <c r="N599">
        <v>1</v>
      </c>
      <c r="O599">
        <v>3.0726475720000002</v>
      </c>
    </row>
    <row r="600" spans="1:15">
      <c r="A600">
        <v>7.3498328000000002E-2</v>
      </c>
      <c r="B600">
        <v>2.4334319419999999</v>
      </c>
      <c r="C600">
        <v>3.6749164000000001E-2</v>
      </c>
      <c r="D600">
        <v>1.780852267</v>
      </c>
      <c r="E600">
        <v>7</v>
      </c>
      <c r="F600">
        <v>41</v>
      </c>
      <c r="G600">
        <v>10</v>
      </c>
      <c r="H600">
        <v>1</v>
      </c>
      <c r="I600">
        <v>0</v>
      </c>
      <c r="J600">
        <v>50.270225519999997</v>
      </c>
      <c r="K600">
        <v>19.640989300000001</v>
      </c>
      <c r="L600">
        <v>19.640989300000001</v>
      </c>
      <c r="M600">
        <v>2.9776186939999998</v>
      </c>
      <c r="N600">
        <v>1</v>
      </c>
      <c r="O600">
        <v>2.9776186939999998</v>
      </c>
    </row>
    <row r="601" spans="1:15">
      <c r="A601">
        <v>-1.2927850430000001</v>
      </c>
      <c r="B601">
        <v>4.1893030000000001E-3</v>
      </c>
      <c r="C601">
        <v>-0.64639252199999997</v>
      </c>
      <c r="D601">
        <v>-0.90646409900000002</v>
      </c>
      <c r="E601">
        <v>8</v>
      </c>
      <c r="F601">
        <v>36</v>
      </c>
      <c r="G601">
        <v>20</v>
      </c>
      <c r="H601">
        <v>1</v>
      </c>
      <c r="I601">
        <v>0</v>
      </c>
      <c r="J601">
        <v>23.522430419999999</v>
      </c>
      <c r="K601">
        <v>20.443288800000001</v>
      </c>
      <c r="N601">
        <v>0</v>
      </c>
      <c r="O601">
        <v>0</v>
      </c>
    </row>
    <row r="602" spans="1:15">
      <c r="A602">
        <v>1.0431738690000001</v>
      </c>
      <c r="B602">
        <v>1.159575198</v>
      </c>
      <c r="C602">
        <v>0.52158693499999997</v>
      </c>
      <c r="D602">
        <v>1.5578168649999999</v>
      </c>
      <c r="E602">
        <v>9</v>
      </c>
      <c r="F602">
        <v>38</v>
      </c>
      <c r="G602">
        <v>12</v>
      </c>
      <c r="H602">
        <v>1</v>
      </c>
      <c r="I602">
        <v>1</v>
      </c>
      <c r="J602">
        <v>52.893802639999997</v>
      </c>
      <c r="K602">
        <v>26.859043119999999</v>
      </c>
      <c r="L602">
        <v>26.859043119999999</v>
      </c>
      <c r="M602">
        <v>3.290602684</v>
      </c>
      <c r="N602">
        <v>1</v>
      </c>
      <c r="O602">
        <v>3.290602684</v>
      </c>
    </row>
    <row r="603" spans="1:15">
      <c r="A603">
        <v>1.0642188130000001</v>
      </c>
      <c r="B603">
        <v>1.504144639</v>
      </c>
      <c r="C603">
        <v>0.53210940699999998</v>
      </c>
      <c r="D603">
        <v>1.8174655959999999</v>
      </c>
      <c r="E603">
        <v>0</v>
      </c>
      <c r="F603">
        <v>23</v>
      </c>
      <c r="G603">
        <v>10</v>
      </c>
      <c r="H603">
        <v>0</v>
      </c>
      <c r="I603">
        <v>3</v>
      </c>
      <c r="J603">
        <v>53.509586329999998</v>
      </c>
      <c r="K603">
        <v>21.985313420000001</v>
      </c>
      <c r="L603">
        <v>21.985313420000001</v>
      </c>
      <c r="M603">
        <v>3.0903747080000001</v>
      </c>
      <c r="N603">
        <v>1</v>
      </c>
      <c r="O603">
        <v>3.0903747080000001</v>
      </c>
    </row>
    <row r="604" spans="1:15">
      <c r="A604">
        <v>0.76140668300000003</v>
      </c>
      <c r="B604">
        <v>-0.45093888300000001</v>
      </c>
      <c r="C604">
        <v>0.380703342</v>
      </c>
      <c r="D604">
        <v>0.21520180799999999</v>
      </c>
      <c r="E604">
        <v>1</v>
      </c>
      <c r="F604">
        <v>24</v>
      </c>
      <c r="G604">
        <v>16</v>
      </c>
      <c r="H604">
        <v>1</v>
      </c>
      <c r="I604">
        <v>0</v>
      </c>
      <c r="J604">
        <v>29.182422639999999</v>
      </c>
      <c r="K604">
        <v>26.368440629999998</v>
      </c>
      <c r="N604">
        <v>0</v>
      </c>
      <c r="O604">
        <v>0</v>
      </c>
    </row>
    <row r="605" spans="1:15">
      <c r="A605">
        <v>1.0115398550000001</v>
      </c>
      <c r="B605">
        <v>-1.122137299</v>
      </c>
      <c r="C605">
        <v>0.50576992700000001</v>
      </c>
      <c r="D605">
        <v>-8.5776133000000004E-2</v>
      </c>
      <c r="E605">
        <v>2</v>
      </c>
      <c r="F605">
        <v>45</v>
      </c>
      <c r="G605">
        <v>16</v>
      </c>
      <c r="H605">
        <v>0</v>
      </c>
      <c r="I605">
        <v>2</v>
      </c>
      <c r="J605">
        <v>38.970687869999999</v>
      </c>
      <c r="K605">
        <v>32.069240569999998</v>
      </c>
      <c r="L605">
        <v>32.069240569999998</v>
      </c>
      <c r="M605">
        <v>3.4678974149999999</v>
      </c>
      <c r="N605">
        <v>1</v>
      </c>
      <c r="O605">
        <v>3.4678974149999999</v>
      </c>
    </row>
    <row r="606" spans="1:15">
      <c r="A606">
        <v>0.55943268599999996</v>
      </c>
      <c r="B606">
        <v>0.31694252499999997</v>
      </c>
      <c r="C606">
        <v>0.27971634299999998</v>
      </c>
      <c r="D606">
        <v>0.61875948700000005</v>
      </c>
      <c r="E606">
        <v>3</v>
      </c>
      <c r="F606">
        <v>46</v>
      </c>
      <c r="G606">
        <v>10</v>
      </c>
      <c r="H606">
        <v>0</v>
      </c>
      <c r="I606">
        <v>3</v>
      </c>
      <c r="J606">
        <v>48.325115199999999</v>
      </c>
      <c r="K606">
        <v>23.556596760000001</v>
      </c>
      <c r="L606">
        <v>23.556596760000001</v>
      </c>
      <c r="M606">
        <v>3.1594059470000002</v>
      </c>
      <c r="N606">
        <v>1</v>
      </c>
      <c r="O606">
        <v>3.1594059470000002</v>
      </c>
    </row>
    <row r="607" spans="1:15">
      <c r="A607">
        <v>-1.447091E-3</v>
      </c>
      <c r="B607">
        <v>-0.56496695200000002</v>
      </c>
      <c r="C607">
        <v>-7.2354600000000004E-4</v>
      </c>
      <c r="D607">
        <v>-0.402472212</v>
      </c>
      <c r="E607">
        <v>4</v>
      </c>
      <c r="F607">
        <v>35</v>
      </c>
      <c r="G607">
        <v>12</v>
      </c>
      <c r="H607">
        <v>0</v>
      </c>
      <c r="I607">
        <v>4</v>
      </c>
      <c r="J607">
        <v>38.17033386</v>
      </c>
      <c r="K607">
        <v>19.99131775</v>
      </c>
      <c r="L607">
        <v>19.99131775</v>
      </c>
      <c r="M607">
        <v>2.9952981470000002</v>
      </c>
      <c r="N607">
        <v>1</v>
      </c>
      <c r="O607">
        <v>2.9952981470000002</v>
      </c>
    </row>
    <row r="608" spans="1:15">
      <c r="A608">
        <v>-0.91539778299999996</v>
      </c>
      <c r="B608">
        <v>-0.21392919099999999</v>
      </c>
      <c r="C608">
        <v>-0.45769889200000002</v>
      </c>
      <c r="D608">
        <v>-0.79597253700000004</v>
      </c>
      <c r="E608">
        <v>5</v>
      </c>
      <c r="F608">
        <v>31</v>
      </c>
      <c r="G608">
        <v>12</v>
      </c>
      <c r="H608">
        <v>0</v>
      </c>
      <c r="I608">
        <v>2</v>
      </c>
      <c r="J608">
        <v>21.848329540000002</v>
      </c>
      <c r="K608">
        <v>13.707612989999999</v>
      </c>
      <c r="N608">
        <v>0</v>
      </c>
      <c r="O608">
        <v>0</v>
      </c>
    </row>
    <row r="609" spans="1:15">
      <c r="A609">
        <v>0.93730006300000002</v>
      </c>
      <c r="B609">
        <v>1.063992335</v>
      </c>
      <c r="C609">
        <v>0.46865003100000002</v>
      </c>
      <c r="D609">
        <v>1.415418101</v>
      </c>
      <c r="E609">
        <v>6</v>
      </c>
      <c r="F609">
        <v>34</v>
      </c>
      <c r="G609">
        <v>16</v>
      </c>
      <c r="H609">
        <v>0</v>
      </c>
      <c r="I609">
        <v>4</v>
      </c>
      <c r="J609">
        <v>62.585018159999997</v>
      </c>
      <c r="K609">
        <v>29.423799509999998</v>
      </c>
      <c r="L609">
        <v>29.423799509999998</v>
      </c>
      <c r="M609">
        <v>3.3818037510000001</v>
      </c>
      <c r="N609">
        <v>1</v>
      </c>
      <c r="O609">
        <v>3.3818037510000001</v>
      </c>
    </row>
    <row r="610" spans="1:15">
      <c r="A610">
        <v>1.5269198719999999</v>
      </c>
      <c r="B610">
        <v>2.1187091769999999</v>
      </c>
      <c r="C610">
        <v>0.76345993599999995</v>
      </c>
      <c r="D610">
        <v>2.579661132</v>
      </c>
      <c r="E610">
        <v>7</v>
      </c>
      <c r="F610">
        <v>37</v>
      </c>
      <c r="G610">
        <v>16</v>
      </c>
      <c r="H610">
        <v>1</v>
      </c>
      <c r="I610">
        <v>2</v>
      </c>
      <c r="J610">
        <v>72.75593567</v>
      </c>
      <c r="K610">
        <v>33.561519619999999</v>
      </c>
      <c r="L610">
        <v>33.561519619999999</v>
      </c>
      <c r="M610">
        <v>3.5133800509999999</v>
      </c>
      <c r="N610">
        <v>1</v>
      </c>
      <c r="O610">
        <v>3.5133800509999999</v>
      </c>
    </row>
    <row r="611" spans="1:15">
      <c r="A611">
        <v>0.50924197599999999</v>
      </c>
      <c r="B611">
        <v>-1.275796218</v>
      </c>
      <c r="C611">
        <v>0.25462098799999999</v>
      </c>
      <c r="D611">
        <v>-0.54831669100000002</v>
      </c>
      <c r="E611">
        <v>8</v>
      </c>
      <c r="F611">
        <v>36</v>
      </c>
      <c r="G611">
        <v>16</v>
      </c>
      <c r="H611">
        <v>1</v>
      </c>
      <c r="I611">
        <v>1</v>
      </c>
      <c r="J611">
        <v>29.820199970000001</v>
      </c>
      <c r="K611">
        <v>27.2554512</v>
      </c>
      <c r="L611">
        <v>27.2554512</v>
      </c>
      <c r="M611">
        <v>3.3052535060000001</v>
      </c>
      <c r="N611">
        <v>1</v>
      </c>
      <c r="O611">
        <v>3.3052535060000001</v>
      </c>
    </row>
    <row r="612" spans="1:15">
      <c r="A612">
        <v>-0.976705881</v>
      </c>
      <c r="B612">
        <v>0.78523728599999998</v>
      </c>
      <c r="C612">
        <v>-0.48835294000000001</v>
      </c>
      <c r="D612">
        <v>-0.129113479</v>
      </c>
      <c r="E612">
        <v>9</v>
      </c>
      <c r="F612">
        <v>47</v>
      </c>
      <c r="G612">
        <v>16</v>
      </c>
      <c r="H612">
        <v>1</v>
      </c>
      <c r="I612">
        <v>4</v>
      </c>
      <c r="J612">
        <v>54.250637050000002</v>
      </c>
      <c r="K612">
        <v>20.539764399999999</v>
      </c>
      <c r="L612">
        <v>20.539764399999999</v>
      </c>
      <c r="M612">
        <v>3.0223627089999998</v>
      </c>
      <c r="N612">
        <v>1</v>
      </c>
      <c r="O612">
        <v>3.0223627089999998</v>
      </c>
    </row>
    <row r="613" spans="1:15">
      <c r="A613">
        <v>0.28026649599999998</v>
      </c>
      <c r="B613">
        <v>0.22645441699999999</v>
      </c>
      <c r="C613">
        <v>0.14013324799999999</v>
      </c>
      <c r="D613">
        <v>0.35807423199999999</v>
      </c>
      <c r="E613">
        <v>0</v>
      </c>
      <c r="F613">
        <v>42</v>
      </c>
      <c r="G613">
        <v>10</v>
      </c>
      <c r="H613">
        <v>0</v>
      </c>
      <c r="I613">
        <v>2</v>
      </c>
      <c r="J613">
        <v>38.596889500000003</v>
      </c>
      <c r="K613">
        <v>21.081598280000001</v>
      </c>
      <c r="L613">
        <v>21.081598280000001</v>
      </c>
      <c r="M613">
        <v>3.0484006400000001</v>
      </c>
      <c r="N613">
        <v>1</v>
      </c>
      <c r="O613">
        <v>3.0484006400000001</v>
      </c>
    </row>
    <row r="614" spans="1:15">
      <c r="A614">
        <v>9.5716967999999999E-2</v>
      </c>
      <c r="B614">
        <v>1.294131447</v>
      </c>
      <c r="C614">
        <v>4.7858484E-2</v>
      </c>
      <c r="D614">
        <v>0.986918352</v>
      </c>
      <c r="E614">
        <v>1</v>
      </c>
      <c r="F614">
        <v>22</v>
      </c>
      <c r="G614">
        <v>10</v>
      </c>
      <c r="H614">
        <v>0</v>
      </c>
      <c r="I614">
        <v>3</v>
      </c>
      <c r="J614">
        <v>43.143020630000002</v>
      </c>
      <c r="K614">
        <v>15.97430134</v>
      </c>
      <c r="L614">
        <v>15.97430134</v>
      </c>
      <c r="M614">
        <v>2.770981312</v>
      </c>
      <c r="N614">
        <v>1</v>
      </c>
      <c r="O614">
        <v>2.770981312</v>
      </c>
    </row>
    <row r="615" spans="1:15">
      <c r="A615">
        <v>0.21168529799999999</v>
      </c>
      <c r="B615">
        <v>0.71989309199999996</v>
      </c>
      <c r="C615">
        <v>0.105842649</v>
      </c>
      <c r="D615">
        <v>0.66045678600000002</v>
      </c>
      <c r="E615">
        <v>2</v>
      </c>
      <c r="F615">
        <v>35</v>
      </c>
      <c r="G615">
        <v>10</v>
      </c>
      <c r="H615">
        <v>0</v>
      </c>
      <c r="I615">
        <v>2</v>
      </c>
      <c r="J615">
        <v>39.425479889999998</v>
      </c>
      <c r="K615">
        <v>19.27011108</v>
      </c>
      <c r="L615">
        <v>19.27011108</v>
      </c>
      <c r="M615">
        <v>2.9585552220000002</v>
      </c>
      <c r="N615">
        <v>1</v>
      </c>
      <c r="O615">
        <v>2.9585552220000002</v>
      </c>
    </row>
    <row r="616" spans="1:15">
      <c r="A616">
        <v>-0.96688518899999998</v>
      </c>
      <c r="B616">
        <v>0.49908683300000001</v>
      </c>
      <c r="C616">
        <v>-0.48344259499999997</v>
      </c>
      <c r="D616">
        <v>-0.32553766699999998</v>
      </c>
      <c r="E616">
        <v>3</v>
      </c>
      <c r="F616">
        <v>39</v>
      </c>
      <c r="G616">
        <v>16</v>
      </c>
      <c r="H616">
        <v>1</v>
      </c>
      <c r="I616">
        <v>1</v>
      </c>
      <c r="J616">
        <v>33.693546300000001</v>
      </c>
      <c r="K616">
        <v>18.998689649999999</v>
      </c>
      <c r="L616">
        <v>18.998689649999999</v>
      </c>
      <c r="M616">
        <v>2.9443700310000001</v>
      </c>
      <c r="N616">
        <v>1</v>
      </c>
      <c r="O616">
        <v>2.9443700310000001</v>
      </c>
    </row>
    <row r="617" spans="1:15">
      <c r="A617">
        <v>0.86628845499999996</v>
      </c>
      <c r="B617">
        <v>1.1490120530000001</v>
      </c>
      <c r="C617">
        <v>0.43314422699999999</v>
      </c>
      <c r="D617">
        <v>1.4258765790000001</v>
      </c>
      <c r="E617">
        <v>4</v>
      </c>
      <c r="F617">
        <v>44</v>
      </c>
      <c r="G617">
        <v>12</v>
      </c>
      <c r="H617">
        <v>1</v>
      </c>
      <c r="I617">
        <v>1</v>
      </c>
      <c r="J617">
        <v>53.710517879999998</v>
      </c>
      <c r="K617">
        <v>26.997730260000001</v>
      </c>
      <c r="L617">
        <v>26.997730260000001</v>
      </c>
      <c r="M617">
        <v>3.2957527639999999</v>
      </c>
      <c r="N617">
        <v>1</v>
      </c>
      <c r="O617">
        <v>3.2957527639999999</v>
      </c>
    </row>
    <row r="618" spans="1:15">
      <c r="A618">
        <v>0.13462928599999999</v>
      </c>
      <c r="B618">
        <v>7.7372610999999994E-2</v>
      </c>
      <c r="C618">
        <v>6.7314642999999993E-2</v>
      </c>
      <c r="D618">
        <v>0.14968766</v>
      </c>
      <c r="E618">
        <v>5</v>
      </c>
      <c r="F618">
        <v>31</v>
      </c>
      <c r="G618">
        <v>16</v>
      </c>
      <c r="H618">
        <v>0</v>
      </c>
      <c r="I618">
        <v>1</v>
      </c>
      <c r="J618">
        <v>31.196252820000002</v>
      </c>
      <c r="K618">
        <v>24.00777626</v>
      </c>
      <c r="L618">
        <v>24.00777626</v>
      </c>
      <c r="M618">
        <v>3.178377867</v>
      </c>
      <c r="N618">
        <v>1</v>
      </c>
      <c r="O618">
        <v>3.178377867</v>
      </c>
    </row>
    <row r="619" spans="1:15">
      <c r="A619">
        <v>0.23903987199999999</v>
      </c>
      <c r="B619">
        <v>-0.82908952400000002</v>
      </c>
      <c r="C619">
        <v>0.11951993599999999</v>
      </c>
      <c r="D619">
        <v>-0.42097605599999999</v>
      </c>
      <c r="E619">
        <v>6</v>
      </c>
      <c r="F619">
        <v>37</v>
      </c>
      <c r="G619">
        <v>10</v>
      </c>
      <c r="H619">
        <v>0</v>
      </c>
      <c r="I619">
        <v>3</v>
      </c>
      <c r="J619">
        <v>32.2482872</v>
      </c>
      <c r="K619">
        <v>19.834239960000001</v>
      </c>
      <c r="L619">
        <v>19.834239960000001</v>
      </c>
      <c r="M619">
        <v>2.9874098299999998</v>
      </c>
      <c r="N619">
        <v>1</v>
      </c>
      <c r="O619">
        <v>2.9874098299999998</v>
      </c>
    </row>
    <row r="620" spans="1:15">
      <c r="A620">
        <v>-1.6140124170000001</v>
      </c>
      <c r="B620">
        <v>-1.0892196839999999</v>
      </c>
      <c r="C620">
        <v>-0.80700620899999997</v>
      </c>
      <c r="D620">
        <v>-1.909393839</v>
      </c>
      <c r="E620">
        <v>7</v>
      </c>
      <c r="F620">
        <v>34</v>
      </c>
      <c r="G620">
        <v>16</v>
      </c>
      <c r="H620">
        <v>1</v>
      </c>
      <c r="I620">
        <v>0</v>
      </c>
      <c r="J620">
        <v>7.6872739790000004</v>
      </c>
      <c r="K620">
        <v>14.11592579</v>
      </c>
      <c r="N620">
        <v>0</v>
      </c>
      <c r="O620">
        <v>0</v>
      </c>
    </row>
    <row r="621" spans="1:15">
      <c r="A621">
        <v>0.53906953099999999</v>
      </c>
      <c r="B621">
        <v>0.81863346699999995</v>
      </c>
      <c r="C621">
        <v>0.26953476599999998</v>
      </c>
      <c r="D621">
        <v>0.96092608700000004</v>
      </c>
      <c r="E621">
        <v>8</v>
      </c>
      <c r="F621">
        <v>47</v>
      </c>
      <c r="G621">
        <v>16</v>
      </c>
      <c r="H621">
        <v>1</v>
      </c>
      <c r="I621">
        <v>0</v>
      </c>
      <c r="J621">
        <v>47.331111909999997</v>
      </c>
      <c r="K621">
        <v>29.63441658</v>
      </c>
      <c r="L621">
        <v>29.63441658</v>
      </c>
      <c r="M621">
        <v>3.3889365200000001</v>
      </c>
      <c r="N621">
        <v>1</v>
      </c>
      <c r="O621">
        <v>3.3889365200000001</v>
      </c>
    </row>
    <row r="622" spans="1:15">
      <c r="A622">
        <v>0.56300654299999997</v>
      </c>
      <c r="B622">
        <v>1.7893751739999999</v>
      </c>
      <c r="C622">
        <v>0.28150327200000003</v>
      </c>
      <c r="D622">
        <v>1.6675548069999999</v>
      </c>
      <c r="E622">
        <v>9</v>
      </c>
      <c r="F622">
        <v>46</v>
      </c>
      <c r="G622">
        <v>12</v>
      </c>
      <c r="H622">
        <v>1</v>
      </c>
      <c r="I622">
        <v>2</v>
      </c>
      <c r="J622">
        <v>62.410655980000001</v>
      </c>
      <c r="K622">
        <v>25.57803917</v>
      </c>
      <c r="L622">
        <v>25.57803917</v>
      </c>
      <c r="M622">
        <v>3.2417340280000002</v>
      </c>
      <c r="N622">
        <v>1</v>
      </c>
      <c r="O622">
        <v>3.2417340280000002</v>
      </c>
    </row>
    <row r="623" spans="1:15">
      <c r="A623">
        <v>-0.33880631900000002</v>
      </c>
      <c r="B623">
        <v>0.35783791599999998</v>
      </c>
      <c r="C623">
        <v>-0.16940316</v>
      </c>
      <c r="D623">
        <v>1.5930962E-2</v>
      </c>
      <c r="E623">
        <v>0</v>
      </c>
      <c r="F623">
        <v>20</v>
      </c>
      <c r="G623">
        <v>10</v>
      </c>
      <c r="H623">
        <v>0</v>
      </c>
      <c r="I623">
        <v>1</v>
      </c>
      <c r="J623">
        <v>20.691171650000001</v>
      </c>
      <c r="K623">
        <v>12.96716213</v>
      </c>
      <c r="N623">
        <v>0</v>
      </c>
      <c r="O623">
        <v>0</v>
      </c>
    </row>
    <row r="624" spans="1:15">
      <c r="A624">
        <v>5.2374731000000001E-2</v>
      </c>
      <c r="B624">
        <v>1.108220448</v>
      </c>
      <c r="C624">
        <v>2.6187366E-2</v>
      </c>
      <c r="D624">
        <v>0.82432356699999998</v>
      </c>
      <c r="E624">
        <v>1</v>
      </c>
      <c r="F624">
        <v>23</v>
      </c>
      <c r="G624">
        <v>10</v>
      </c>
      <c r="H624">
        <v>1</v>
      </c>
      <c r="I624">
        <v>0</v>
      </c>
      <c r="J624">
        <v>31.59188271</v>
      </c>
      <c r="K624">
        <v>15.91424847</v>
      </c>
      <c r="L624">
        <v>15.91424847</v>
      </c>
      <c r="M624">
        <v>2.7672147749999998</v>
      </c>
      <c r="N624">
        <v>1</v>
      </c>
      <c r="O624">
        <v>2.7672147749999998</v>
      </c>
    </row>
    <row r="625" spans="1:15">
      <c r="A625">
        <v>0.51786231500000002</v>
      </c>
      <c r="B625">
        <v>0.44048733800000001</v>
      </c>
      <c r="C625">
        <v>0.25893115799999999</v>
      </c>
      <c r="D625">
        <v>0.67730427800000004</v>
      </c>
      <c r="E625">
        <v>2</v>
      </c>
      <c r="F625">
        <v>45</v>
      </c>
      <c r="G625">
        <v>10</v>
      </c>
      <c r="H625">
        <v>1</v>
      </c>
      <c r="I625">
        <v>0</v>
      </c>
      <c r="J625">
        <v>38.627651210000003</v>
      </c>
      <c r="K625">
        <v>23.107173920000001</v>
      </c>
      <c r="L625">
        <v>23.107173920000001</v>
      </c>
      <c r="M625">
        <v>3.1401431560000002</v>
      </c>
      <c r="N625">
        <v>1</v>
      </c>
      <c r="O625">
        <v>3.1401431560000002</v>
      </c>
    </row>
    <row r="626" spans="1:15">
      <c r="A626">
        <v>-0.29225826100000002</v>
      </c>
      <c r="B626">
        <v>-0.13775173199999999</v>
      </c>
      <c r="C626">
        <v>-0.146129131</v>
      </c>
      <c r="D626">
        <v>-0.30347977500000001</v>
      </c>
      <c r="E626">
        <v>3</v>
      </c>
      <c r="F626">
        <v>47</v>
      </c>
      <c r="G626">
        <v>10</v>
      </c>
      <c r="H626">
        <v>0</v>
      </c>
      <c r="I626">
        <v>2</v>
      </c>
      <c r="J626">
        <v>32.658241269999998</v>
      </c>
      <c r="K626">
        <v>18.646450040000001</v>
      </c>
      <c r="L626">
        <v>18.646450040000001</v>
      </c>
      <c r="M626">
        <v>2.9256558419999998</v>
      </c>
      <c r="N626">
        <v>1</v>
      </c>
      <c r="O626">
        <v>2.9256558419999998</v>
      </c>
    </row>
    <row r="627" spans="1:15">
      <c r="A627">
        <v>-8.3803796E-2</v>
      </c>
      <c r="B627">
        <v>0.92215183099999998</v>
      </c>
      <c r="C627">
        <v>-4.1901898E-2</v>
      </c>
      <c r="D627">
        <v>0.596308846</v>
      </c>
      <c r="E627">
        <v>4</v>
      </c>
      <c r="F627">
        <v>34</v>
      </c>
      <c r="G627">
        <v>20</v>
      </c>
      <c r="H627">
        <v>1</v>
      </c>
      <c r="I627">
        <v>0</v>
      </c>
      <c r="J627">
        <v>40.755706789999998</v>
      </c>
      <c r="K627">
        <v>27.297176360000002</v>
      </c>
      <c r="L627">
        <v>27.297176360000002</v>
      </c>
      <c r="M627">
        <v>3.3067831989999998</v>
      </c>
      <c r="N627">
        <v>1</v>
      </c>
      <c r="O627">
        <v>3.3067831989999998</v>
      </c>
    </row>
    <row r="628" spans="1:15">
      <c r="A628">
        <v>0.65504137100000004</v>
      </c>
      <c r="B628">
        <v>-1.3075026700000001</v>
      </c>
      <c r="C628">
        <v>0.32752068600000001</v>
      </c>
      <c r="D628">
        <v>-0.46828054699999999</v>
      </c>
      <c r="E628">
        <v>5</v>
      </c>
      <c r="F628">
        <v>50</v>
      </c>
      <c r="G628">
        <v>16</v>
      </c>
      <c r="H628">
        <v>0</v>
      </c>
      <c r="I628">
        <v>4</v>
      </c>
      <c r="J628">
        <v>46.380634309999998</v>
      </c>
      <c r="K628">
        <v>30.930248259999999</v>
      </c>
      <c r="L628">
        <v>30.930248259999999</v>
      </c>
      <c r="M628">
        <v>3.4317345619999999</v>
      </c>
      <c r="N628">
        <v>1</v>
      </c>
      <c r="O628">
        <v>3.4317345619999999</v>
      </c>
    </row>
    <row r="629" spans="1:15">
      <c r="A629">
        <v>0.31684662400000002</v>
      </c>
      <c r="B629">
        <v>0.86820790599999997</v>
      </c>
      <c r="C629">
        <v>0.15842331200000001</v>
      </c>
      <c r="D629">
        <v>0.839824609</v>
      </c>
      <c r="E629">
        <v>6</v>
      </c>
      <c r="F629">
        <v>47</v>
      </c>
      <c r="G629">
        <v>12</v>
      </c>
      <c r="H629">
        <v>1</v>
      </c>
      <c r="I629">
        <v>1</v>
      </c>
      <c r="J629">
        <v>47.877895359999997</v>
      </c>
      <c r="K629">
        <v>24.301078799999999</v>
      </c>
      <c r="L629">
        <v>24.301078799999999</v>
      </c>
      <c r="M629">
        <v>3.1905207629999999</v>
      </c>
      <c r="N629">
        <v>1</v>
      </c>
      <c r="O629">
        <v>3.1905207629999999</v>
      </c>
    </row>
    <row r="630" spans="1:15">
      <c r="A630">
        <v>0.21142075799999999</v>
      </c>
      <c r="B630">
        <v>0.56639693599999996</v>
      </c>
      <c r="C630">
        <v>0.10571037899999999</v>
      </c>
      <c r="D630">
        <v>0.55119938899999998</v>
      </c>
      <c r="E630">
        <v>7</v>
      </c>
      <c r="F630">
        <v>34</v>
      </c>
      <c r="G630">
        <v>20</v>
      </c>
      <c r="H630">
        <v>1</v>
      </c>
      <c r="I630">
        <v>0</v>
      </c>
      <c r="J630">
        <v>40.214393620000003</v>
      </c>
      <c r="K630">
        <v>29.068525309999998</v>
      </c>
      <c r="L630">
        <v>29.068525309999998</v>
      </c>
      <c r="M630">
        <v>3.369656086</v>
      </c>
      <c r="N630">
        <v>1</v>
      </c>
      <c r="O630">
        <v>3.369656086</v>
      </c>
    </row>
    <row r="631" spans="1:15">
      <c r="A631">
        <v>-2.5547413880000001</v>
      </c>
      <c r="B631">
        <v>1.355129172</v>
      </c>
      <c r="C631">
        <v>-1.277370694</v>
      </c>
      <c r="D631">
        <v>-0.83426697699999997</v>
      </c>
      <c r="E631">
        <v>8</v>
      </c>
      <c r="F631">
        <v>52</v>
      </c>
      <c r="G631">
        <v>12</v>
      </c>
      <c r="H631">
        <v>1</v>
      </c>
      <c r="I631">
        <v>0</v>
      </c>
      <c r="J631">
        <v>24.78879547</v>
      </c>
      <c r="K631">
        <v>8.0715513229999996</v>
      </c>
      <c r="N631">
        <v>0</v>
      </c>
      <c r="O631">
        <v>0</v>
      </c>
    </row>
    <row r="632" spans="1:15">
      <c r="A632">
        <v>-0.61359515399999998</v>
      </c>
      <c r="B632">
        <v>0.40862791300000001</v>
      </c>
      <c r="C632">
        <v>-0.30679757699999999</v>
      </c>
      <c r="D632">
        <v>-0.14128553899999999</v>
      </c>
      <c r="E632">
        <v>9</v>
      </c>
      <c r="F632">
        <v>38</v>
      </c>
      <c r="G632">
        <v>16</v>
      </c>
      <c r="H632">
        <v>1</v>
      </c>
      <c r="I632">
        <v>4</v>
      </c>
      <c r="J632">
        <v>50.504573819999997</v>
      </c>
      <c r="K632">
        <v>20.918428420000001</v>
      </c>
      <c r="L632">
        <v>20.918428420000001</v>
      </c>
      <c r="M632">
        <v>3.0406305790000001</v>
      </c>
      <c r="N632">
        <v>1</v>
      </c>
      <c r="O632">
        <v>3.0406305790000001</v>
      </c>
    </row>
    <row r="633" spans="1:15">
      <c r="A633">
        <v>1.221059165</v>
      </c>
      <c r="B633">
        <v>1.130432093</v>
      </c>
      <c r="C633">
        <v>0.61052958300000004</v>
      </c>
      <c r="D633">
        <v>1.6622460750000001</v>
      </c>
      <c r="E633">
        <v>0</v>
      </c>
      <c r="F633">
        <v>28</v>
      </c>
      <c r="G633">
        <v>10</v>
      </c>
      <c r="H633">
        <v>0</v>
      </c>
      <c r="I633">
        <v>1</v>
      </c>
      <c r="J633">
        <v>43.646953580000002</v>
      </c>
      <c r="K633">
        <v>23.926355359999999</v>
      </c>
      <c r="L633">
        <v>23.926355359999999</v>
      </c>
      <c r="M633">
        <v>3.1749806399999998</v>
      </c>
      <c r="N633">
        <v>1</v>
      </c>
      <c r="O633">
        <v>3.1749806399999998</v>
      </c>
    </row>
    <row r="634" spans="1:15">
      <c r="A634">
        <v>6.1830435000000003E-2</v>
      </c>
      <c r="B634">
        <v>-8.7966515999999995E-2</v>
      </c>
      <c r="C634">
        <v>3.0915216999999998E-2</v>
      </c>
      <c r="D634">
        <v>-1.9011131000000001E-2</v>
      </c>
      <c r="E634">
        <v>1</v>
      </c>
      <c r="F634">
        <v>41</v>
      </c>
      <c r="G634">
        <v>10</v>
      </c>
      <c r="H634">
        <v>0</v>
      </c>
      <c r="I634">
        <v>1</v>
      </c>
      <c r="J634">
        <v>28.671867370000001</v>
      </c>
      <c r="K634">
        <v>19.570981979999999</v>
      </c>
      <c r="N634">
        <v>0</v>
      </c>
      <c r="O634">
        <v>0</v>
      </c>
    </row>
    <row r="635" spans="1:15">
      <c r="A635">
        <v>1.3906435989999999</v>
      </c>
      <c r="B635">
        <v>-1.0109242089999999</v>
      </c>
      <c r="C635">
        <v>0.69532179999999999</v>
      </c>
      <c r="D635">
        <v>0.259939372</v>
      </c>
      <c r="E635">
        <v>2</v>
      </c>
      <c r="F635">
        <v>29</v>
      </c>
      <c r="G635">
        <v>12</v>
      </c>
      <c r="H635">
        <v>0</v>
      </c>
      <c r="I635">
        <v>2</v>
      </c>
      <c r="J635">
        <v>33.719272609999997</v>
      </c>
      <c r="K635">
        <v>27.143861770000001</v>
      </c>
      <c r="L635">
        <v>27.143861770000001</v>
      </c>
      <c r="M635">
        <v>3.3011510369999999</v>
      </c>
      <c r="N635">
        <v>1</v>
      </c>
      <c r="O635">
        <v>3.3011510369999999</v>
      </c>
    </row>
    <row r="636" spans="1:15">
      <c r="A636">
        <v>0.37038178300000002</v>
      </c>
      <c r="B636">
        <v>-0.116795854</v>
      </c>
      <c r="C636">
        <v>0.185190891</v>
      </c>
      <c r="D636">
        <v>0.17756123200000001</v>
      </c>
      <c r="E636">
        <v>3</v>
      </c>
      <c r="F636">
        <v>29</v>
      </c>
      <c r="G636">
        <v>10</v>
      </c>
      <c r="H636">
        <v>1</v>
      </c>
      <c r="I636">
        <v>3</v>
      </c>
      <c r="J636">
        <v>41.230735780000003</v>
      </c>
      <c r="K636">
        <v>19.02229118</v>
      </c>
      <c r="L636">
        <v>19.02229118</v>
      </c>
      <c r="M636">
        <v>2.9456114769999999</v>
      </c>
      <c r="N636">
        <v>1</v>
      </c>
      <c r="O636">
        <v>2.9456114769999999</v>
      </c>
    </row>
    <row r="637" spans="1:15">
      <c r="A637">
        <v>0.45776114000000001</v>
      </c>
      <c r="B637">
        <v>0.24739446900000001</v>
      </c>
      <c r="C637">
        <v>0.22888057000000001</v>
      </c>
      <c r="D637">
        <v>0.49781671900000002</v>
      </c>
      <c r="E637">
        <v>4</v>
      </c>
      <c r="F637">
        <v>29</v>
      </c>
      <c r="G637">
        <v>20</v>
      </c>
      <c r="H637">
        <v>0</v>
      </c>
      <c r="I637">
        <v>2</v>
      </c>
      <c r="J637">
        <v>42.573799129999998</v>
      </c>
      <c r="K637">
        <v>29.546566009999999</v>
      </c>
      <c r="L637">
        <v>29.546566009999999</v>
      </c>
      <c r="M637">
        <v>3.3859674929999999</v>
      </c>
      <c r="N637">
        <v>1</v>
      </c>
      <c r="O637">
        <v>3.3859674929999999</v>
      </c>
    </row>
    <row r="638" spans="1:15">
      <c r="A638">
        <v>1.4288108340000001</v>
      </c>
      <c r="B638">
        <v>-0.46317508099999999</v>
      </c>
      <c r="C638">
        <v>0.71440541700000004</v>
      </c>
      <c r="D638">
        <v>0.67600861700000003</v>
      </c>
      <c r="E638">
        <v>5</v>
      </c>
      <c r="F638">
        <v>41</v>
      </c>
      <c r="G638">
        <v>10</v>
      </c>
      <c r="H638">
        <v>1</v>
      </c>
      <c r="I638">
        <v>2</v>
      </c>
      <c r="J638">
        <v>47.012104030000003</v>
      </c>
      <c r="K638">
        <v>27.772865299999999</v>
      </c>
      <c r="L638">
        <v>27.772865299999999</v>
      </c>
      <c r="M638">
        <v>3.3240594859999999</v>
      </c>
      <c r="N638">
        <v>1</v>
      </c>
      <c r="O638">
        <v>3.3240594859999999</v>
      </c>
    </row>
    <row r="639" spans="1:15">
      <c r="A639">
        <v>0.142256617</v>
      </c>
      <c r="B639">
        <v>-1.9698547580000001</v>
      </c>
      <c r="C639">
        <v>7.1128308000000001E-2</v>
      </c>
      <c r="D639">
        <v>-1.299665549</v>
      </c>
      <c r="E639">
        <v>6</v>
      </c>
      <c r="F639">
        <v>39</v>
      </c>
      <c r="G639">
        <v>12</v>
      </c>
      <c r="H639">
        <v>1</v>
      </c>
      <c r="I639">
        <v>3</v>
      </c>
      <c r="J639">
        <v>29.004013059999998</v>
      </c>
      <c r="K639">
        <v>21.65353966</v>
      </c>
      <c r="N639">
        <v>0</v>
      </c>
      <c r="O639">
        <v>0</v>
      </c>
    </row>
    <row r="640" spans="1:15">
      <c r="A640">
        <v>0.45668295800000003</v>
      </c>
      <c r="B640">
        <v>0.55437191900000005</v>
      </c>
      <c r="C640">
        <v>0.22834147900000001</v>
      </c>
      <c r="D640">
        <v>0.71519028500000004</v>
      </c>
      <c r="E640">
        <v>7</v>
      </c>
      <c r="F640">
        <v>34</v>
      </c>
      <c r="G640">
        <v>16</v>
      </c>
      <c r="H640">
        <v>1</v>
      </c>
      <c r="I640">
        <v>3</v>
      </c>
      <c r="J640">
        <v>54.182285309999997</v>
      </c>
      <c r="K640">
        <v>26.540098189999998</v>
      </c>
      <c r="L640">
        <v>26.540098189999998</v>
      </c>
      <c r="M640">
        <v>3.2786567209999999</v>
      </c>
      <c r="N640">
        <v>1</v>
      </c>
      <c r="O640">
        <v>3.2786567209999999</v>
      </c>
    </row>
    <row r="641" spans="1:15">
      <c r="A641">
        <v>-2.1445480780000001</v>
      </c>
      <c r="B641">
        <v>-1.815068873</v>
      </c>
      <c r="C641">
        <v>-1.0722740390000001</v>
      </c>
      <c r="D641">
        <v>-2.7983859139999998</v>
      </c>
      <c r="E641">
        <v>8</v>
      </c>
      <c r="F641">
        <v>42</v>
      </c>
      <c r="G641">
        <v>20</v>
      </c>
      <c r="H641">
        <v>1</v>
      </c>
      <c r="I641">
        <v>2</v>
      </c>
      <c r="J641">
        <v>13.21936893</v>
      </c>
      <c r="K641">
        <v>16.532711030000002</v>
      </c>
      <c r="N641">
        <v>0</v>
      </c>
      <c r="O641">
        <v>0</v>
      </c>
    </row>
    <row r="642" spans="1:15">
      <c r="A642">
        <v>9.0231398000000004E-2</v>
      </c>
      <c r="B642">
        <v>0.32984818599999999</v>
      </c>
      <c r="C642">
        <v>4.5115699000000002E-2</v>
      </c>
      <c r="D642">
        <v>0.29785898799999999</v>
      </c>
      <c r="E642">
        <v>9</v>
      </c>
      <c r="F642">
        <v>38</v>
      </c>
      <c r="G642">
        <v>16</v>
      </c>
      <c r="H642">
        <v>1</v>
      </c>
      <c r="I642">
        <v>1</v>
      </c>
      <c r="J642">
        <v>40.77430725</v>
      </c>
      <c r="K642">
        <v>25.141387940000001</v>
      </c>
      <c r="L642">
        <v>25.141387940000001</v>
      </c>
      <c r="M642">
        <v>3.2245154380000001</v>
      </c>
      <c r="N642">
        <v>1</v>
      </c>
      <c r="O642">
        <v>3.2245154380000001</v>
      </c>
    </row>
    <row r="643" spans="1:15">
      <c r="A643">
        <v>-1.545021712</v>
      </c>
      <c r="B643">
        <v>-1.443801288</v>
      </c>
      <c r="C643">
        <v>-0.77251085600000002</v>
      </c>
      <c r="D643">
        <v>-2.1128192559999999</v>
      </c>
      <c r="E643">
        <v>0</v>
      </c>
      <c r="F643">
        <v>32</v>
      </c>
      <c r="G643">
        <v>10</v>
      </c>
      <c r="H643">
        <v>0</v>
      </c>
      <c r="I643">
        <v>2</v>
      </c>
      <c r="J643">
        <v>4.9461689</v>
      </c>
      <c r="K643">
        <v>8.1298694610000002</v>
      </c>
      <c r="N643">
        <v>0</v>
      </c>
      <c r="O643">
        <v>0</v>
      </c>
    </row>
    <row r="644" spans="1:15">
      <c r="A644">
        <v>8.7484817000000006E-2</v>
      </c>
      <c r="B644">
        <v>0.58962371400000002</v>
      </c>
      <c r="C644">
        <v>4.3742409000000003E-2</v>
      </c>
      <c r="D644">
        <v>0.48051813599999998</v>
      </c>
      <c r="E644">
        <v>1</v>
      </c>
      <c r="F644">
        <v>22</v>
      </c>
      <c r="G644">
        <v>10</v>
      </c>
      <c r="H644">
        <v>0</v>
      </c>
      <c r="I644">
        <v>2</v>
      </c>
      <c r="J644">
        <v>32.066219330000003</v>
      </c>
      <c r="K644">
        <v>15.92490864</v>
      </c>
      <c r="L644">
        <v>15.92490864</v>
      </c>
      <c r="M644">
        <v>2.7678844929999999</v>
      </c>
      <c r="N644">
        <v>1</v>
      </c>
      <c r="O644">
        <v>2.7678844929999999</v>
      </c>
    </row>
    <row r="645" spans="1:15">
      <c r="A645">
        <v>-0.711648791</v>
      </c>
      <c r="B645">
        <v>0.26779678800000001</v>
      </c>
      <c r="C645">
        <v>-0.35582439500000002</v>
      </c>
      <c r="D645">
        <v>-0.31033552599999997</v>
      </c>
      <c r="E645">
        <v>2</v>
      </c>
      <c r="F645">
        <v>33</v>
      </c>
      <c r="G645">
        <v>16</v>
      </c>
      <c r="H645">
        <v>0</v>
      </c>
      <c r="I645">
        <v>3</v>
      </c>
      <c r="J645">
        <v>36.475975040000002</v>
      </c>
      <c r="K645">
        <v>19.330106740000002</v>
      </c>
      <c r="L645">
        <v>19.330106740000002</v>
      </c>
      <c r="M645">
        <v>2.961663723</v>
      </c>
      <c r="N645">
        <v>1</v>
      </c>
      <c r="O645">
        <v>2.961663723</v>
      </c>
    </row>
    <row r="646" spans="1:15">
      <c r="A646">
        <v>1.0668240849999999</v>
      </c>
      <c r="B646">
        <v>-0.34329369300000001</v>
      </c>
      <c r="C646">
        <v>0.533412043</v>
      </c>
      <c r="D646">
        <v>0.50654559300000002</v>
      </c>
      <c r="E646">
        <v>3</v>
      </c>
      <c r="F646">
        <v>32</v>
      </c>
      <c r="G646">
        <v>16</v>
      </c>
      <c r="H646">
        <v>0</v>
      </c>
      <c r="I646">
        <v>3</v>
      </c>
      <c r="J646">
        <v>45.878547670000003</v>
      </c>
      <c r="K646">
        <v>29.800945280000001</v>
      </c>
      <c r="L646">
        <v>29.800945280000001</v>
      </c>
      <c r="M646">
        <v>3.3945400710000002</v>
      </c>
      <c r="N646">
        <v>1</v>
      </c>
      <c r="O646">
        <v>3.3945400710000002</v>
      </c>
    </row>
    <row r="647" spans="1:15">
      <c r="A647">
        <v>0.30150281200000001</v>
      </c>
      <c r="B647">
        <v>1.468627106</v>
      </c>
      <c r="C647">
        <v>0.150751406</v>
      </c>
      <c r="D647">
        <v>1.255676513</v>
      </c>
      <c r="E647">
        <v>4</v>
      </c>
      <c r="F647">
        <v>45</v>
      </c>
      <c r="G647">
        <v>10</v>
      </c>
      <c r="H647">
        <v>1</v>
      </c>
      <c r="I647">
        <v>1</v>
      </c>
      <c r="J647">
        <v>50.56811905</v>
      </c>
      <c r="K647">
        <v>21.809017180000001</v>
      </c>
      <c r="L647">
        <v>21.809017180000001</v>
      </c>
      <c r="M647">
        <v>3.082323551</v>
      </c>
      <c r="N647">
        <v>1</v>
      </c>
      <c r="O647">
        <v>3.082323551</v>
      </c>
    </row>
    <row r="648" spans="1:15">
      <c r="A648">
        <v>1.2958988600000001</v>
      </c>
      <c r="B648">
        <v>0.27280143699999998</v>
      </c>
      <c r="C648">
        <v>0.64794943000000005</v>
      </c>
      <c r="D648">
        <v>1.1054786720000001</v>
      </c>
      <c r="E648">
        <v>5</v>
      </c>
      <c r="F648">
        <v>41</v>
      </c>
      <c r="G648">
        <v>12</v>
      </c>
      <c r="H648">
        <v>1</v>
      </c>
      <c r="I648">
        <v>0</v>
      </c>
      <c r="J648">
        <v>43.665744779999997</v>
      </c>
      <c r="K648">
        <v>28.9753933</v>
      </c>
      <c r="L648">
        <v>28.9753933</v>
      </c>
      <c r="M648">
        <v>3.3664469719999999</v>
      </c>
      <c r="N648">
        <v>1</v>
      </c>
      <c r="O648">
        <v>3.3664469719999999</v>
      </c>
    </row>
    <row r="649" spans="1:15">
      <c r="A649">
        <v>0.12136485499999999</v>
      </c>
      <c r="B649">
        <v>-2.2095013990000001</v>
      </c>
      <c r="C649">
        <v>6.0682427999999997E-2</v>
      </c>
      <c r="D649">
        <v>-1.4846504760000001</v>
      </c>
      <c r="E649">
        <v>6</v>
      </c>
      <c r="F649">
        <v>32</v>
      </c>
      <c r="G649">
        <v>12</v>
      </c>
      <c r="H649">
        <v>1</v>
      </c>
      <c r="I649">
        <v>3</v>
      </c>
      <c r="J649">
        <v>23.9841938</v>
      </c>
      <c r="K649">
        <v>20.128189089999999</v>
      </c>
      <c r="N649">
        <v>0</v>
      </c>
      <c r="O649">
        <v>0</v>
      </c>
    </row>
    <row r="650" spans="1:15">
      <c r="A650">
        <v>1.463600434</v>
      </c>
      <c r="B650">
        <v>1.946463431</v>
      </c>
      <c r="C650">
        <v>0.73180021699999998</v>
      </c>
      <c r="D650">
        <v>2.4127231560000002</v>
      </c>
      <c r="E650">
        <v>7</v>
      </c>
      <c r="F650">
        <v>48</v>
      </c>
      <c r="G650">
        <v>20</v>
      </c>
      <c r="H650">
        <v>1</v>
      </c>
      <c r="I650">
        <v>1</v>
      </c>
      <c r="J650">
        <v>73.15267944</v>
      </c>
      <c r="K650">
        <v>39.381603239999997</v>
      </c>
      <c r="L650">
        <v>39.381603239999997</v>
      </c>
      <c r="M650">
        <v>3.6732988359999998</v>
      </c>
      <c r="N650">
        <v>1</v>
      </c>
      <c r="O650">
        <v>3.6732988359999998</v>
      </c>
    </row>
    <row r="651" spans="1:15">
      <c r="A651">
        <v>1.4683252000000001E-2</v>
      </c>
      <c r="B651">
        <v>-1.2875284300000001</v>
      </c>
      <c r="C651">
        <v>7.3416260000000004E-3</v>
      </c>
      <c r="D651">
        <v>-0.90456267400000001</v>
      </c>
      <c r="E651">
        <v>8</v>
      </c>
      <c r="F651">
        <v>37</v>
      </c>
      <c r="G651">
        <v>20</v>
      </c>
      <c r="H651">
        <v>1</v>
      </c>
      <c r="I651">
        <v>3</v>
      </c>
      <c r="J651">
        <v>38.945247649999999</v>
      </c>
      <c r="K651">
        <v>28.48810005</v>
      </c>
      <c r="L651">
        <v>28.48810005</v>
      </c>
      <c r="M651">
        <v>3.3494863509999999</v>
      </c>
      <c r="N651">
        <v>1</v>
      </c>
      <c r="O651">
        <v>3.3494863509999999</v>
      </c>
    </row>
    <row r="652" spans="1:15">
      <c r="A652">
        <v>0.89121209400000001</v>
      </c>
      <c r="B652">
        <v>-0.103090535</v>
      </c>
      <c r="C652">
        <v>0.44560604700000001</v>
      </c>
      <c r="D652">
        <v>0.55369064800000001</v>
      </c>
      <c r="E652">
        <v>9</v>
      </c>
      <c r="F652">
        <v>38</v>
      </c>
      <c r="G652">
        <v>12</v>
      </c>
      <c r="H652">
        <v>1</v>
      </c>
      <c r="I652">
        <v>5</v>
      </c>
      <c r="J652">
        <v>60.844287870000002</v>
      </c>
      <c r="K652">
        <v>25.947273249999999</v>
      </c>
      <c r="L652">
        <v>25.947273249999999</v>
      </c>
      <c r="M652">
        <v>3.2560665609999999</v>
      </c>
      <c r="N652">
        <v>1</v>
      </c>
      <c r="O652">
        <v>3.2560665609999999</v>
      </c>
    </row>
    <row r="653" spans="1:15">
      <c r="A653">
        <v>1.068396677</v>
      </c>
      <c r="B653">
        <v>1.714391958</v>
      </c>
      <c r="C653">
        <v>0.53419833900000002</v>
      </c>
      <c r="D653">
        <v>1.9698021569999999</v>
      </c>
      <c r="E653">
        <v>0</v>
      </c>
      <c r="F653">
        <v>20</v>
      </c>
      <c r="G653">
        <v>10</v>
      </c>
      <c r="H653">
        <v>0</v>
      </c>
      <c r="I653">
        <v>1</v>
      </c>
      <c r="J653">
        <v>44.137626650000001</v>
      </c>
      <c r="K653">
        <v>21.410379410000001</v>
      </c>
      <c r="L653">
        <v>21.410379410000001</v>
      </c>
      <c r="M653">
        <v>3.063875914</v>
      </c>
      <c r="N653">
        <v>1</v>
      </c>
      <c r="O653">
        <v>3.063875914</v>
      </c>
    </row>
    <row r="654" spans="1:15">
      <c r="A654">
        <v>0.55646265699999997</v>
      </c>
      <c r="B654">
        <v>-2.115746922</v>
      </c>
      <c r="C654">
        <v>0.278231328</v>
      </c>
      <c r="D654">
        <v>-1.111950338</v>
      </c>
      <c r="E654">
        <v>1</v>
      </c>
      <c r="F654">
        <v>32</v>
      </c>
      <c r="G654">
        <v>10</v>
      </c>
      <c r="H654">
        <v>1</v>
      </c>
      <c r="I654">
        <v>1</v>
      </c>
      <c r="J654">
        <v>16.95659637</v>
      </c>
      <c r="K654">
        <v>20.73877525</v>
      </c>
      <c r="N654">
        <v>0</v>
      </c>
      <c r="O654">
        <v>0</v>
      </c>
    </row>
    <row r="655" spans="1:15">
      <c r="A655">
        <v>5.4608473999999997E-2</v>
      </c>
      <c r="B655">
        <v>1.1470226880000001</v>
      </c>
      <c r="C655">
        <v>2.7304236999999999E-2</v>
      </c>
      <c r="D655">
        <v>0.85346704399999995</v>
      </c>
      <c r="E655">
        <v>2</v>
      </c>
      <c r="F655">
        <v>28</v>
      </c>
      <c r="G655">
        <v>12</v>
      </c>
      <c r="H655">
        <v>0</v>
      </c>
      <c r="I655">
        <v>2</v>
      </c>
      <c r="J655">
        <v>40.441604609999999</v>
      </c>
      <c r="K655">
        <v>18.927650450000002</v>
      </c>
      <c r="L655">
        <v>18.927650450000002</v>
      </c>
      <c r="M655">
        <v>2.9406237599999998</v>
      </c>
      <c r="N655">
        <v>1</v>
      </c>
      <c r="O655">
        <v>2.9406237599999998</v>
      </c>
    </row>
    <row r="656" spans="1:15">
      <c r="A656">
        <v>-0.88754094100000003</v>
      </c>
      <c r="B656">
        <v>0.61737348700000005</v>
      </c>
      <c r="C656">
        <v>-0.44377046999999997</v>
      </c>
      <c r="D656">
        <v>-0.185668903</v>
      </c>
      <c r="E656">
        <v>3</v>
      </c>
      <c r="F656">
        <v>40</v>
      </c>
      <c r="G656">
        <v>10</v>
      </c>
      <c r="H656">
        <v>1</v>
      </c>
      <c r="I656">
        <v>0</v>
      </c>
      <c r="J656">
        <v>26.271972659999999</v>
      </c>
      <c r="K656">
        <v>13.674754139999999</v>
      </c>
      <c r="N656">
        <v>0</v>
      </c>
      <c r="O656">
        <v>0</v>
      </c>
    </row>
    <row r="657" spans="1:15">
      <c r="A657">
        <v>0.14253858999999999</v>
      </c>
      <c r="B657">
        <v>0.68152442400000002</v>
      </c>
      <c r="C657">
        <v>7.1269294999999996E-2</v>
      </c>
      <c r="D657">
        <v>0.58454985199999998</v>
      </c>
      <c r="E657">
        <v>4</v>
      </c>
      <c r="F657">
        <v>37</v>
      </c>
      <c r="G657">
        <v>12</v>
      </c>
      <c r="H657">
        <v>1</v>
      </c>
      <c r="I657">
        <v>1</v>
      </c>
      <c r="J657">
        <v>40.814598080000003</v>
      </c>
      <c r="K657">
        <v>21.255231859999999</v>
      </c>
      <c r="L657">
        <v>21.255231859999999</v>
      </c>
      <c r="M657">
        <v>3.0566029549999998</v>
      </c>
      <c r="N657">
        <v>1</v>
      </c>
      <c r="O657">
        <v>3.0566029549999998</v>
      </c>
    </row>
    <row r="658" spans="1:15">
      <c r="A658">
        <v>0.83620536700000003</v>
      </c>
      <c r="B658">
        <v>1.572651005</v>
      </c>
      <c r="C658">
        <v>0.418102684</v>
      </c>
      <c r="D658">
        <v>1.7057432720000001</v>
      </c>
      <c r="E658">
        <v>5</v>
      </c>
      <c r="F658">
        <v>32</v>
      </c>
      <c r="G658">
        <v>16</v>
      </c>
      <c r="H658">
        <v>1</v>
      </c>
      <c r="I658">
        <v>2</v>
      </c>
      <c r="J658">
        <v>60.268920899999998</v>
      </c>
      <c r="K658">
        <v>28.417232510000002</v>
      </c>
      <c r="L658">
        <v>28.417232510000002</v>
      </c>
      <c r="M658">
        <v>3.3469958310000001</v>
      </c>
      <c r="N658">
        <v>1</v>
      </c>
      <c r="O658">
        <v>3.3469958310000001</v>
      </c>
    </row>
    <row r="659" spans="1:15">
      <c r="A659">
        <v>-0.77861144100000002</v>
      </c>
      <c r="B659">
        <v>0.19412584099999999</v>
      </c>
      <c r="C659">
        <v>-0.38930572099999999</v>
      </c>
      <c r="D659">
        <v>-0.40979112499999998</v>
      </c>
      <c r="E659">
        <v>6</v>
      </c>
      <c r="F659">
        <v>41</v>
      </c>
      <c r="G659">
        <v>20</v>
      </c>
      <c r="H659">
        <v>1</v>
      </c>
      <c r="I659">
        <v>0</v>
      </c>
      <c r="J659">
        <v>31.482505799999998</v>
      </c>
      <c r="K659">
        <v>24.52833176</v>
      </c>
      <c r="L659">
        <v>24.52833176</v>
      </c>
      <c r="M659">
        <v>3.199828863</v>
      </c>
      <c r="N659">
        <v>1</v>
      </c>
      <c r="O659">
        <v>3.199828863</v>
      </c>
    </row>
    <row r="660" spans="1:15">
      <c r="A660">
        <v>1.155523509</v>
      </c>
      <c r="B660">
        <v>0.38836375899999998</v>
      </c>
      <c r="C660">
        <v>0.57776175399999996</v>
      </c>
      <c r="D660">
        <v>1.088844508</v>
      </c>
      <c r="E660">
        <v>7</v>
      </c>
      <c r="F660">
        <v>44</v>
      </c>
      <c r="G660">
        <v>12</v>
      </c>
      <c r="H660">
        <v>1</v>
      </c>
      <c r="I660">
        <v>2</v>
      </c>
      <c r="J660">
        <v>54.666133879999997</v>
      </c>
      <c r="K660">
        <v>28.733140949999999</v>
      </c>
      <c r="L660">
        <v>28.733140949999999</v>
      </c>
      <c r="M660">
        <v>3.3580513000000001</v>
      </c>
      <c r="N660">
        <v>1</v>
      </c>
      <c r="O660">
        <v>3.3580513000000001</v>
      </c>
    </row>
    <row r="661" spans="1:15">
      <c r="A661">
        <v>-2.1161441920000001</v>
      </c>
      <c r="B661">
        <v>1.999891463</v>
      </c>
      <c r="C661">
        <v>-1.0580720960000001</v>
      </c>
      <c r="D661">
        <v>-6.7569967999999994E-2</v>
      </c>
      <c r="E661">
        <v>8</v>
      </c>
      <c r="F661">
        <v>38</v>
      </c>
      <c r="G661">
        <v>12</v>
      </c>
      <c r="H661">
        <v>1</v>
      </c>
      <c r="I661">
        <v>1</v>
      </c>
      <c r="J661">
        <v>33.389160160000003</v>
      </c>
      <c r="K661">
        <v>7.9031348230000003</v>
      </c>
      <c r="L661">
        <v>7.9031348230000003</v>
      </c>
      <c r="M661">
        <v>2.0672595500000002</v>
      </c>
      <c r="N661">
        <v>1</v>
      </c>
      <c r="O661">
        <v>2.0672595500000002</v>
      </c>
    </row>
    <row r="662" spans="1:15">
      <c r="A662">
        <v>0.409039651</v>
      </c>
      <c r="B662">
        <v>0.199556608</v>
      </c>
      <c r="C662">
        <v>0.20451982599999999</v>
      </c>
      <c r="D662">
        <v>0.42954978100000002</v>
      </c>
      <c r="E662">
        <v>9</v>
      </c>
      <c r="F662">
        <v>51</v>
      </c>
      <c r="G662">
        <v>12</v>
      </c>
      <c r="H662">
        <v>1</v>
      </c>
      <c r="I662">
        <v>5</v>
      </c>
      <c r="J662">
        <v>64.554595950000007</v>
      </c>
      <c r="K662">
        <v>25.65423775</v>
      </c>
      <c r="L662">
        <v>25.65423775</v>
      </c>
      <c r="M662">
        <v>3.244708776</v>
      </c>
      <c r="N662">
        <v>1</v>
      </c>
      <c r="O662">
        <v>3.244708776</v>
      </c>
    </row>
    <row r="663" spans="1:15">
      <c r="A663">
        <v>0.12322651</v>
      </c>
      <c r="B663">
        <v>3.1140448620000001</v>
      </c>
      <c r="C663">
        <v>6.1613254999999999E-2</v>
      </c>
      <c r="D663">
        <v>2.2994646940000001</v>
      </c>
      <c r="E663">
        <v>0</v>
      </c>
      <c r="F663">
        <v>27</v>
      </c>
      <c r="G663">
        <v>10</v>
      </c>
      <c r="H663">
        <v>0</v>
      </c>
      <c r="I663">
        <v>3</v>
      </c>
      <c r="J663">
        <v>60.893577579999999</v>
      </c>
      <c r="K663">
        <v>17.139358519999998</v>
      </c>
      <c r="L663">
        <v>17.139358519999998</v>
      </c>
      <c r="M663">
        <v>2.8413774969999999</v>
      </c>
      <c r="N663">
        <v>1</v>
      </c>
      <c r="O663">
        <v>2.8413774969999999</v>
      </c>
    </row>
    <row r="664" spans="1:15">
      <c r="A664">
        <v>1.040915203</v>
      </c>
      <c r="B664">
        <v>-0.30661896700000002</v>
      </c>
      <c r="C664">
        <v>0.52045760200000002</v>
      </c>
      <c r="D664">
        <v>0.51437968999999995</v>
      </c>
      <c r="E664">
        <v>1</v>
      </c>
      <c r="F664">
        <v>37</v>
      </c>
      <c r="G664">
        <v>10</v>
      </c>
      <c r="H664">
        <v>0</v>
      </c>
      <c r="I664">
        <v>2</v>
      </c>
      <c r="J664">
        <v>38.472557070000001</v>
      </c>
      <c r="K664">
        <v>24.645490649999999</v>
      </c>
      <c r="L664">
        <v>24.645490649999999</v>
      </c>
      <c r="M664">
        <v>3.2045938970000001</v>
      </c>
      <c r="N664">
        <v>1</v>
      </c>
      <c r="O664">
        <v>3.2045938970000001</v>
      </c>
    </row>
    <row r="665" spans="1:15">
      <c r="A665">
        <v>-1.271046312</v>
      </c>
      <c r="B665">
        <v>0.86207159799999999</v>
      </c>
      <c r="C665">
        <v>-0.63552315599999998</v>
      </c>
      <c r="D665">
        <v>-0.28157745499999998</v>
      </c>
      <c r="E665">
        <v>2</v>
      </c>
      <c r="F665">
        <v>24</v>
      </c>
      <c r="G665">
        <v>10</v>
      </c>
      <c r="H665">
        <v>0</v>
      </c>
      <c r="I665">
        <v>3</v>
      </c>
      <c r="J665">
        <v>28.721071240000001</v>
      </c>
      <c r="K665">
        <v>8.1737222670000005</v>
      </c>
      <c r="N665">
        <v>0</v>
      </c>
      <c r="O665">
        <v>0</v>
      </c>
    </row>
    <row r="666" spans="1:15">
      <c r="A666">
        <v>-0.92922802999999998</v>
      </c>
      <c r="B666">
        <v>0.71439852100000001</v>
      </c>
      <c r="C666">
        <v>-0.46461401499999999</v>
      </c>
      <c r="D666">
        <v>-0.14605064600000001</v>
      </c>
      <c r="E666">
        <v>3</v>
      </c>
      <c r="F666">
        <v>33</v>
      </c>
      <c r="G666">
        <v>12</v>
      </c>
      <c r="H666">
        <v>0</v>
      </c>
      <c r="I666">
        <v>2</v>
      </c>
      <c r="J666">
        <v>30.447391509999999</v>
      </c>
      <c r="K666">
        <v>14.0246315</v>
      </c>
      <c r="L666">
        <v>14.0246315</v>
      </c>
      <c r="M666">
        <v>2.6408152579999999</v>
      </c>
      <c r="N666">
        <v>1</v>
      </c>
      <c r="O666">
        <v>2.6408152579999999</v>
      </c>
    </row>
    <row r="667" spans="1:15">
      <c r="A667">
        <v>0.73993552699999998</v>
      </c>
      <c r="B667">
        <v>-0.53479878599999997</v>
      </c>
      <c r="C667">
        <v>0.36996776300000001</v>
      </c>
      <c r="D667">
        <v>0.14050823300000001</v>
      </c>
      <c r="E667">
        <v>4</v>
      </c>
      <c r="F667">
        <v>40</v>
      </c>
      <c r="G667">
        <v>10</v>
      </c>
      <c r="H667">
        <v>0</v>
      </c>
      <c r="I667">
        <v>4</v>
      </c>
      <c r="J667">
        <v>45.186100009999997</v>
      </c>
      <c r="K667">
        <v>23.439613340000001</v>
      </c>
      <c r="L667">
        <v>23.439613340000001</v>
      </c>
      <c r="M667">
        <v>3.1544275279999998</v>
      </c>
      <c r="N667">
        <v>1</v>
      </c>
      <c r="O667">
        <v>3.1544275279999998</v>
      </c>
    </row>
    <row r="668" spans="1:15">
      <c r="A668">
        <v>-1.7583235960000001</v>
      </c>
      <c r="B668">
        <v>0.22221471700000001</v>
      </c>
      <c r="C668">
        <v>-0.87916179800000005</v>
      </c>
      <c r="D668">
        <v>-1.079033964</v>
      </c>
      <c r="E668">
        <v>5</v>
      </c>
      <c r="F668">
        <v>36</v>
      </c>
      <c r="G668">
        <v>12</v>
      </c>
      <c r="H668">
        <v>1</v>
      </c>
      <c r="I668">
        <v>4</v>
      </c>
      <c r="J668">
        <v>35.451591489999998</v>
      </c>
      <c r="K668">
        <v>9.6500587459999991</v>
      </c>
      <c r="L668">
        <v>9.6500587459999991</v>
      </c>
      <c r="M668">
        <v>2.2669639589999999</v>
      </c>
      <c r="N668">
        <v>1</v>
      </c>
      <c r="O668">
        <v>2.2669639589999999</v>
      </c>
    </row>
    <row r="669" spans="1:15">
      <c r="A669">
        <v>1.0593206310000001</v>
      </c>
      <c r="B669">
        <v>-1.967966712</v>
      </c>
      <c r="C669">
        <v>0.52966031599999996</v>
      </c>
      <c r="D669">
        <v>-0.65319305999999999</v>
      </c>
      <c r="E669">
        <v>6</v>
      </c>
      <c r="F669">
        <v>35</v>
      </c>
      <c r="G669">
        <v>12</v>
      </c>
      <c r="H669">
        <v>1</v>
      </c>
      <c r="I669">
        <v>3</v>
      </c>
      <c r="J669">
        <v>35.161682130000003</v>
      </c>
      <c r="K669">
        <v>26.355924609999999</v>
      </c>
      <c r="L669">
        <v>26.355924609999999</v>
      </c>
      <c r="M669">
        <v>3.2716929910000001</v>
      </c>
      <c r="N669">
        <v>1</v>
      </c>
      <c r="O669">
        <v>3.2716929910000001</v>
      </c>
    </row>
    <row r="670" spans="1:15">
      <c r="A670">
        <v>0.21681662199999999</v>
      </c>
      <c r="B670">
        <v>0.57901678000000001</v>
      </c>
      <c r="C670">
        <v>0.10840831099999999</v>
      </c>
      <c r="D670">
        <v>0.56396265000000001</v>
      </c>
      <c r="E670">
        <v>7</v>
      </c>
      <c r="F670">
        <v>35</v>
      </c>
      <c r="G670">
        <v>16</v>
      </c>
      <c r="H670">
        <v>1</v>
      </c>
      <c r="I670">
        <v>1</v>
      </c>
      <c r="J670">
        <v>42.767551419999997</v>
      </c>
      <c r="K670">
        <v>25.300899510000001</v>
      </c>
      <c r="L670">
        <v>25.300899510000001</v>
      </c>
      <c r="M670">
        <v>3.2308399680000002</v>
      </c>
      <c r="N670">
        <v>1</v>
      </c>
      <c r="O670">
        <v>3.2308399680000002</v>
      </c>
    </row>
    <row r="671" spans="1:15">
      <c r="A671">
        <v>-2.3305703100000001</v>
      </c>
      <c r="B671">
        <v>-0.31819796900000002</v>
      </c>
      <c r="C671">
        <v>-1.1652851550000001</v>
      </c>
      <c r="D671">
        <v>-1.8656012179999999</v>
      </c>
      <c r="E671">
        <v>8</v>
      </c>
      <c r="F671">
        <v>36</v>
      </c>
      <c r="G671">
        <v>12</v>
      </c>
      <c r="H671">
        <v>1</v>
      </c>
      <c r="I671">
        <v>2</v>
      </c>
      <c r="J671">
        <v>16.012784960000001</v>
      </c>
      <c r="K671">
        <v>6.2165780069999999</v>
      </c>
      <c r="N671">
        <v>0</v>
      </c>
      <c r="O671">
        <v>0</v>
      </c>
    </row>
    <row r="672" spans="1:15">
      <c r="A672">
        <v>-0.67743941699999999</v>
      </c>
      <c r="B672">
        <v>0.89279852999999998</v>
      </c>
      <c r="C672">
        <v>-0.33871970800000001</v>
      </c>
      <c r="D672">
        <v>0.15784363000000001</v>
      </c>
      <c r="E672">
        <v>9</v>
      </c>
      <c r="F672">
        <v>46</v>
      </c>
      <c r="G672">
        <v>20</v>
      </c>
      <c r="H672">
        <v>1</v>
      </c>
      <c r="I672">
        <v>0</v>
      </c>
      <c r="J672">
        <v>40.294124600000004</v>
      </c>
      <c r="K672">
        <v>26.135362629999999</v>
      </c>
      <c r="L672">
        <v>26.135362629999999</v>
      </c>
      <c r="M672">
        <v>3.2632892130000002</v>
      </c>
      <c r="N672">
        <v>1</v>
      </c>
      <c r="O672">
        <v>3.2632892130000002</v>
      </c>
    </row>
    <row r="673" spans="1:15">
      <c r="A673">
        <v>0.94418561899999998</v>
      </c>
      <c r="B673">
        <v>-2.3359463640000002</v>
      </c>
      <c r="C673">
        <v>0.47209280999999997</v>
      </c>
      <c r="D673">
        <v>-0.99566655500000001</v>
      </c>
      <c r="E673">
        <v>0</v>
      </c>
      <c r="F673">
        <v>24</v>
      </c>
      <c r="G673">
        <v>10</v>
      </c>
      <c r="H673">
        <v>0</v>
      </c>
      <c r="I673">
        <v>3</v>
      </c>
      <c r="J673">
        <v>20.152000430000001</v>
      </c>
      <c r="K673">
        <v>21.465114589999999</v>
      </c>
      <c r="N673">
        <v>0</v>
      </c>
      <c r="O673">
        <v>0</v>
      </c>
    </row>
    <row r="674" spans="1:15">
      <c r="A674">
        <v>0.52919360400000004</v>
      </c>
      <c r="B674">
        <v>0.38917178299999999</v>
      </c>
      <c r="C674">
        <v>0.26459680200000002</v>
      </c>
      <c r="D674">
        <v>0.64881173999999997</v>
      </c>
      <c r="E674">
        <v>1</v>
      </c>
      <c r="F674">
        <v>33</v>
      </c>
      <c r="G674">
        <v>10</v>
      </c>
      <c r="H674">
        <v>0</v>
      </c>
      <c r="I674">
        <v>0</v>
      </c>
      <c r="J674">
        <v>28.485740660000001</v>
      </c>
      <c r="K674">
        <v>20.775161740000001</v>
      </c>
      <c r="N674">
        <v>0</v>
      </c>
      <c r="O674">
        <v>0</v>
      </c>
    </row>
    <row r="675" spans="1:15">
      <c r="A675">
        <v>-0.939539876</v>
      </c>
      <c r="B675">
        <v>1.5627392739999999</v>
      </c>
      <c r="C675">
        <v>-0.469769938</v>
      </c>
      <c r="D675">
        <v>0.44950921599999999</v>
      </c>
      <c r="E675">
        <v>2</v>
      </c>
      <c r="F675">
        <v>31</v>
      </c>
      <c r="G675">
        <v>10</v>
      </c>
      <c r="H675">
        <v>0</v>
      </c>
      <c r="I675">
        <v>2</v>
      </c>
      <c r="J675">
        <v>35.294109339999999</v>
      </c>
      <c r="K675">
        <v>11.56276035</v>
      </c>
      <c r="L675">
        <v>11.56276035</v>
      </c>
      <c r="M675">
        <v>2.4477896690000001</v>
      </c>
      <c r="N675">
        <v>1</v>
      </c>
      <c r="O675">
        <v>2.4477896690000001</v>
      </c>
    </row>
    <row r="676" spans="1:15">
      <c r="A676">
        <v>1.0412236560000001</v>
      </c>
      <c r="B676">
        <v>1.8035563880000001</v>
      </c>
      <c r="C676">
        <v>0.52061182800000005</v>
      </c>
      <c r="D676">
        <v>2.0140450990000001</v>
      </c>
      <c r="E676">
        <v>3</v>
      </c>
      <c r="F676">
        <v>26</v>
      </c>
      <c r="G676">
        <v>12</v>
      </c>
      <c r="H676">
        <v>1</v>
      </c>
      <c r="I676">
        <v>0</v>
      </c>
      <c r="J676">
        <v>48.568542479999998</v>
      </c>
      <c r="K676">
        <v>24.44734192</v>
      </c>
      <c r="L676">
        <v>24.44734192</v>
      </c>
      <c r="M676">
        <v>3.1965215210000002</v>
      </c>
      <c r="N676">
        <v>1</v>
      </c>
      <c r="O676">
        <v>3.1965215210000002</v>
      </c>
    </row>
    <row r="677" spans="1:15">
      <c r="A677">
        <v>-0.61366138000000003</v>
      </c>
      <c r="B677">
        <v>0.90709312799999997</v>
      </c>
      <c r="C677">
        <v>-0.30683069000000002</v>
      </c>
      <c r="D677">
        <v>0.21286728899999999</v>
      </c>
      <c r="E677">
        <v>4</v>
      </c>
      <c r="F677">
        <v>44</v>
      </c>
      <c r="G677">
        <v>10</v>
      </c>
      <c r="H677">
        <v>1</v>
      </c>
      <c r="I677">
        <v>1</v>
      </c>
      <c r="J677">
        <v>37.654407499999998</v>
      </c>
      <c r="K677">
        <v>16.118032459999998</v>
      </c>
      <c r="L677">
        <v>16.118032459999998</v>
      </c>
      <c r="M677">
        <v>2.779938698</v>
      </c>
      <c r="N677">
        <v>1</v>
      </c>
      <c r="O677">
        <v>2.779938698</v>
      </c>
    </row>
    <row r="678" spans="1:15">
      <c r="A678">
        <v>-0.190349249</v>
      </c>
      <c r="B678">
        <v>1.758921341</v>
      </c>
      <c r="C678">
        <v>-9.5174624999999999E-2</v>
      </c>
      <c r="D678">
        <v>1.115948553</v>
      </c>
      <c r="E678">
        <v>5</v>
      </c>
      <c r="F678">
        <v>31</v>
      </c>
      <c r="G678">
        <v>16</v>
      </c>
      <c r="H678">
        <v>0</v>
      </c>
      <c r="I678">
        <v>1</v>
      </c>
      <c r="J678">
        <v>42.79138184</v>
      </c>
      <c r="K678">
        <v>22.0579052</v>
      </c>
      <c r="L678">
        <v>22.0579052</v>
      </c>
      <c r="M678">
        <v>3.0936710829999998</v>
      </c>
      <c r="N678">
        <v>1</v>
      </c>
      <c r="O678">
        <v>3.0936710829999998</v>
      </c>
    </row>
    <row r="679" spans="1:15">
      <c r="A679">
        <v>0.65814302300000005</v>
      </c>
      <c r="B679">
        <v>-1.1222851030000001</v>
      </c>
      <c r="C679">
        <v>0.32907151099999998</v>
      </c>
      <c r="D679">
        <v>-0.33448671600000002</v>
      </c>
      <c r="E679">
        <v>6</v>
      </c>
      <c r="F679">
        <v>32</v>
      </c>
      <c r="G679">
        <v>16</v>
      </c>
      <c r="H679">
        <v>1</v>
      </c>
      <c r="I679">
        <v>1</v>
      </c>
      <c r="J679">
        <v>30.786159519999998</v>
      </c>
      <c r="K679">
        <v>27.348857880000001</v>
      </c>
      <c r="L679">
        <v>27.348857880000001</v>
      </c>
      <c r="M679">
        <v>3.308674812</v>
      </c>
      <c r="N679">
        <v>1</v>
      </c>
      <c r="O679">
        <v>3.308674812</v>
      </c>
    </row>
    <row r="680" spans="1:15">
      <c r="A680">
        <v>-0.406782755</v>
      </c>
      <c r="B680">
        <v>0.75752318299999999</v>
      </c>
      <c r="C680">
        <v>-0.20339137700000001</v>
      </c>
      <c r="D680">
        <v>0.252119653</v>
      </c>
      <c r="E680">
        <v>7</v>
      </c>
      <c r="F680">
        <v>40</v>
      </c>
      <c r="G680">
        <v>12</v>
      </c>
      <c r="H680">
        <v>1</v>
      </c>
      <c r="I680">
        <v>3</v>
      </c>
      <c r="J680">
        <v>48.025436399999997</v>
      </c>
      <c r="K680">
        <v>18.559303280000002</v>
      </c>
      <c r="L680">
        <v>18.559303280000002</v>
      </c>
      <c r="M680">
        <v>2.9209711550000002</v>
      </c>
      <c r="N680">
        <v>1</v>
      </c>
      <c r="O680">
        <v>2.9209711550000002</v>
      </c>
    </row>
    <row r="681" spans="1:15">
      <c r="A681">
        <v>-0.89997555600000001</v>
      </c>
      <c r="B681">
        <v>2.8814937020000002</v>
      </c>
      <c r="C681">
        <v>-0.449987778</v>
      </c>
      <c r="D681">
        <v>1.4144222259999999</v>
      </c>
      <c r="E681">
        <v>8</v>
      </c>
      <c r="F681">
        <v>36</v>
      </c>
      <c r="G681">
        <v>12</v>
      </c>
      <c r="H681">
        <v>1</v>
      </c>
      <c r="I681">
        <v>4</v>
      </c>
      <c r="J681">
        <v>65.373069760000007</v>
      </c>
      <c r="K681">
        <v>14.80014706</v>
      </c>
      <c r="L681">
        <v>14.80014706</v>
      </c>
      <c r="M681">
        <v>2.6946370599999998</v>
      </c>
      <c r="N681">
        <v>1</v>
      </c>
      <c r="O681">
        <v>2.6946370599999998</v>
      </c>
    </row>
    <row r="682" spans="1:15">
      <c r="A682">
        <v>-0.59766215099999997</v>
      </c>
      <c r="B682">
        <v>-0.26622902900000001</v>
      </c>
      <c r="C682">
        <v>-0.29883107599999997</v>
      </c>
      <c r="D682">
        <v>-0.60961693400000005</v>
      </c>
      <c r="E682">
        <v>9</v>
      </c>
      <c r="F682">
        <v>40</v>
      </c>
      <c r="G682">
        <v>16</v>
      </c>
      <c r="H682">
        <v>1</v>
      </c>
      <c r="I682">
        <v>0</v>
      </c>
      <c r="J682">
        <v>25.684597019999998</v>
      </c>
      <c r="K682">
        <v>21.41402626</v>
      </c>
      <c r="N682">
        <v>0</v>
      </c>
      <c r="O682">
        <v>0</v>
      </c>
    </row>
    <row r="683" spans="1:15">
      <c r="A683">
        <v>-2.7254871889999999</v>
      </c>
      <c r="B683">
        <v>-0.274960288</v>
      </c>
      <c r="C683">
        <v>-1.3627435939999999</v>
      </c>
      <c r="D683">
        <v>-2.1126912249999998</v>
      </c>
      <c r="E683">
        <v>0</v>
      </c>
      <c r="F683">
        <v>25</v>
      </c>
      <c r="G683">
        <v>10</v>
      </c>
      <c r="H683">
        <v>0</v>
      </c>
      <c r="I683">
        <v>0</v>
      </c>
      <c r="J683">
        <v>-7.8522949219999996</v>
      </c>
      <c r="K683">
        <v>-0.352923125</v>
      </c>
      <c r="N683">
        <v>0</v>
      </c>
      <c r="O683">
        <v>0</v>
      </c>
    </row>
    <row r="684" spans="1:15">
      <c r="A684">
        <v>0.56085119999999999</v>
      </c>
      <c r="B684">
        <v>0.36757116400000001</v>
      </c>
      <c r="C684">
        <v>0.2804256</v>
      </c>
      <c r="D684">
        <v>0.655733075</v>
      </c>
      <c r="E684">
        <v>1</v>
      </c>
      <c r="F684">
        <v>24</v>
      </c>
      <c r="G684">
        <v>20</v>
      </c>
      <c r="H684">
        <v>1</v>
      </c>
      <c r="I684">
        <v>0</v>
      </c>
      <c r="J684">
        <v>37.468795780000001</v>
      </c>
      <c r="K684">
        <v>29.165107729999999</v>
      </c>
      <c r="L684">
        <v>29.165107729999999</v>
      </c>
      <c r="M684">
        <v>3.3729729650000002</v>
      </c>
      <c r="N684">
        <v>1</v>
      </c>
      <c r="O684">
        <v>3.3729729650000002</v>
      </c>
    </row>
    <row r="685" spans="1:15">
      <c r="A685">
        <v>-0.84096518200000003</v>
      </c>
      <c r="B685">
        <v>0.682201642</v>
      </c>
      <c r="C685">
        <v>-0.42048259100000002</v>
      </c>
      <c r="D685">
        <v>-0.10683846700000001</v>
      </c>
      <c r="E685">
        <v>2</v>
      </c>
      <c r="F685">
        <v>32</v>
      </c>
      <c r="G685">
        <v>10</v>
      </c>
      <c r="H685">
        <v>0</v>
      </c>
      <c r="I685">
        <v>3</v>
      </c>
      <c r="J685">
        <v>34.017936710000001</v>
      </c>
      <c r="K685">
        <v>12.35420895</v>
      </c>
      <c r="L685">
        <v>12.35420895</v>
      </c>
      <c r="M685">
        <v>2.5139968399999999</v>
      </c>
      <c r="N685">
        <v>1</v>
      </c>
      <c r="O685">
        <v>2.5139968399999999</v>
      </c>
    </row>
    <row r="686" spans="1:15">
      <c r="A686">
        <v>-0.38518142399999999</v>
      </c>
      <c r="B686">
        <v>-0.33425115500000002</v>
      </c>
      <c r="C686">
        <v>-0.192590712</v>
      </c>
      <c r="D686">
        <v>-0.50847738600000003</v>
      </c>
      <c r="E686">
        <v>3</v>
      </c>
      <c r="F686">
        <v>26</v>
      </c>
      <c r="G686">
        <v>10</v>
      </c>
      <c r="H686">
        <v>0</v>
      </c>
      <c r="I686">
        <v>3</v>
      </c>
      <c r="J686">
        <v>26.79827118</v>
      </c>
      <c r="K686">
        <v>13.88891125</v>
      </c>
      <c r="N686">
        <v>0</v>
      </c>
      <c r="O686">
        <v>0</v>
      </c>
    </row>
    <row r="687" spans="1:15">
      <c r="A687">
        <v>1.2411086220000001</v>
      </c>
      <c r="B687">
        <v>8.7315781999999995E-2</v>
      </c>
      <c r="C687">
        <v>0.62055431100000003</v>
      </c>
      <c r="D687">
        <v>0.93513275299999998</v>
      </c>
      <c r="E687">
        <v>4</v>
      </c>
      <c r="F687">
        <v>34</v>
      </c>
      <c r="G687">
        <v>12</v>
      </c>
      <c r="H687">
        <v>1</v>
      </c>
      <c r="I687">
        <v>3</v>
      </c>
      <c r="J687">
        <v>53.821594240000003</v>
      </c>
      <c r="K687">
        <v>27.246652600000001</v>
      </c>
      <c r="L687">
        <v>27.246652600000001</v>
      </c>
      <c r="M687">
        <v>3.3049306870000001</v>
      </c>
      <c r="N687">
        <v>1</v>
      </c>
      <c r="O687">
        <v>3.3049306870000001</v>
      </c>
    </row>
    <row r="688" spans="1:15">
      <c r="A688">
        <v>-0.107579591</v>
      </c>
      <c r="B688">
        <v>-0.98437331800000005</v>
      </c>
      <c r="C688">
        <v>-5.3789796000000001E-2</v>
      </c>
      <c r="D688">
        <v>-0.77515546800000001</v>
      </c>
      <c r="E688">
        <v>5</v>
      </c>
      <c r="F688">
        <v>33</v>
      </c>
      <c r="G688">
        <v>12</v>
      </c>
      <c r="H688">
        <v>1</v>
      </c>
      <c r="I688">
        <v>0</v>
      </c>
      <c r="J688">
        <v>17.89813423</v>
      </c>
      <c r="K688">
        <v>18.954523089999999</v>
      </c>
      <c r="N688">
        <v>0</v>
      </c>
      <c r="O688">
        <v>0</v>
      </c>
    </row>
    <row r="689" spans="1:15">
      <c r="A689">
        <v>-0.52213530399999997</v>
      </c>
      <c r="B689">
        <v>-0.24441168099999999</v>
      </c>
      <c r="C689">
        <v>-0.26106765199999998</v>
      </c>
      <c r="D689">
        <v>-0.54098277400000006</v>
      </c>
      <c r="E689">
        <v>6</v>
      </c>
      <c r="F689">
        <v>32</v>
      </c>
      <c r="G689">
        <v>12</v>
      </c>
      <c r="H689">
        <v>0</v>
      </c>
      <c r="I689">
        <v>1</v>
      </c>
      <c r="J689">
        <v>20.308206559999999</v>
      </c>
      <c r="K689">
        <v>16.267189030000001</v>
      </c>
      <c r="N689">
        <v>0</v>
      </c>
      <c r="O689">
        <v>0</v>
      </c>
    </row>
    <row r="690" spans="1:15">
      <c r="A690">
        <v>-0.41346864799999999</v>
      </c>
      <c r="B690">
        <v>0.176298182</v>
      </c>
      <c r="C690">
        <v>-0.206734324</v>
      </c>
      <c r="D690">
        <v>-0.16559056599999999</v>
      </c>
      <c r="E690">
        <v>7</v>
      </c>
      <c r="F690">
        <v>34</v>
      </c>
      <c r="G690">
        <v>16</v>
      </c>
      <c r="H690">
        <v>1</v>
      </c>
      <c r="I690">
        <v>1</v>
      </c>
      <c r="J690">
        <v>33.612915039999997</v>
      </c>
      <c r="K690">
        <v>21.319187159999998</v>
      </c>
      <c r="L690">
        <v>21.319187159999998</v>
      </c>
      <c r="M690">
        <v>3.0596075059999999</v>
      </c>
      <c r="N690">
        <v>1</v>
      </c>
      <c r="O690">
        <v>3.0596075059999999</v>
      </c>
    </row>
    <row r="691" spans="1:15">
      <c r="A691">
        <v>-0.65609242499999998</v>
      </c>
      <c r="B691">
        <v>-1.5002734120000001</v>
      </c>
      <c r="C691">
        <v>-0.328046212</v>
      </c>
      <c r="D691">
        <v>-1.5276083920000001</v>
      </c>
      <c r="E691">
        <v>8</v>
      </c>
      <c r="F691">
        <v>37</v>
      </c>
      <c r="G691">
        <v>16</v>
      </c>
      <c r="H691">
        <v>1</v>
      </c>
      <c r="I691">
        <v>4</v>
      </c>
      <c r="J691">
        <v>33.468700409999997</v>
      </c>
      <c r="K691">
        <v>20.463445660000001</v>
      </c>
      <c r="L691">
        <v>20.463445660000001</v>
      </c>
      <c r="M691">
        <v>3.0186400409999998</v>
      </c>
      <c r="N691">
        <v>1</v>
      </c>
      <c r="O691">
        <v>3.0186400409999998</v>
      </c>
    </row>
    <row r="692" spans="1:15">
      <c r="A692">
        <v>0.35994173200000001</v>
      </c>
      <c r="B692">
        <v>0.67622710600000002</v>
      </c>
      <c r="C692">
        <v>0.17997086600000001</v>
      </c>
      <c r="D692">
        <v>0.73372318700000005</v>
      </c>
      <c r="E692">
        <v>9</v>
      </c>
      <c r="F692">
        <v>47</v>
      </c>
      <c r="G692">
        <v>12</v>
      </c>
      <c r="H692">
        <v>1</v>
      </c>
      <c r="I692">
        <v>1</v>
      </c>
      <c r="J692">
        <v>46.604679109999999</v>
      </c>
      <c r="K692">
        <v>24.559650420000001</v>
      </c>
      <c r="L692">
        <v>24.559650420000001</v>
      </c>
      <c r="M692">
        <v>3.2011048789999998</v>
      </c>
      <c r="N692">
        <v>1</v>
      </c>
      <c r="O692">
        <v>3.2011048789999998</v>
      </c>
    </row>
    <row r="693" spans="1:15">
      <c r="A693">
        <v>0.39715115099999998</v>
      </c>
      <c r="B693">
        <v>1.0923332779999999</v>
      </c>
      <c r="C693">
        <v>0.198575575</v>
      </c>
      <c r="D693">
        <v>1.0555757809999999</v>
      </c>
      <c r="E693">
        <v>0</v>
      </c>
      <c r="F693">
        <v>20</v>
      </c>
      <c r="G693">
        <v>10</v>
      </c>
      <c r="H693">
        <v>0</v>
      </c>
      <c r="I693">
        <v>2</v>
      </c>
      <c r="J693">
        <v>38.16690826</v>
      </c>
      <c r="K693">
        <v>17.382905959999999</v>
      </c>
      <c r="L693">
        <v>17.382905959999999</v>
      </c>
      <c r="M693">
        <v>2.855487347</v>
      </c>
      <c r="N693">
        <v>1</v>
      </c>
      <c r="O693">
        <v>2.855487347</v>
      </c>
    </row>
    <row r="694" spans="1:15">
      <c r="A694">
        <v>-0.19318427199999999</v>
      </c>
      <c r="B694">
        <v>0.62116596999999996</v>
      </c>
      <c r="C694">
        <v>-9.6592135999999995E-2</v>
      </c>
      <c r="D694">
        <v>0.30548796700000003</v>
      </c>
      <c r="E694">
        <v>1</v>
      </c>
      <c r="F694">
        <v>27</v>
      </c>
      <c r="G694">
        <v>16</v>
      </c>
      <c r="H694">
        <v>1</v>
      </c>
      <c r="I694">
        <v>1</v>
      </c>
      <c r="J694">
        <v>36.465854640000003</v>
      </c>
      <c r="K694">
        <v>21.240894319999999</v>
      </c>
      <c r="L694">
        <v>21.240894319999999</v>
      </c>
      <c r="M694">
        <v>3.0559282300000001</v>
      </c>
      <c r="N694">
        <v>1</v>
      </c>
      <c r="O694">
        <v>3.0559282300000001</v>
      </c>
    </row>
    <row r="695" spans="1:15">
      <c r="A695">
        <v>-0.95487264100000002</v>
      </c>
      <c r="B695">
        <v>0.123176877</v>
      </c>
      <c r="C695">
        <v>-0.47743632000000003</v>
      </c>
      <c r="D695">
        <v>-0.58420124799999995</v>
      </c>
      <c r="E695">
        <v>2</v>
      </c>
      <c r="F695">
        <v>29</v>
      </c>
      <c r="G695">
        <v>12</v>
      </c>
      <c r="H695">
        <v>0</v>
      </c>
      <c r="I695">
        <v>0</v>
      </c>
      <c r="J695">
        <v>13.5895853</v>
      </c>
      <c r="K695">
        <v>13.070764540000001</v>
      </c>
      <c r="N695">
        <v>0</v>
      </c>
      <c r="O695">
        <v>0</v>
      </c>
    </row>
    <row r="696" spans="1:15">
      <c r="A696">
        <v>-0.70038025199999998</v>
      </c>
      <c r="B696">
        <v>-0.14642854599999999</v>
      </c>
      <c r="C696">
        <v>-0.35019012599999999</v>
      </c>
      <c r="D696">
        <v>-0.59674864000000005</v>
      </c>
      <c r="E696">
        <v>3</v>
      </c>
      <c r="F696">
        <v>29</v>
      </c>
      <c r="G696">
        <v>16</v>
      </c>
      <c r="H696">
        <v>0</v>
      </c>
      <c r="I696">
        <v>0</v>
      </c>
      <c r="J696">
        <v>16.439016339999998</v>
      </c>
      <c r="K696">
        <v>18.597719189999999</v>
      </c>
      <c r="N696">
        <v>0</v>
      </c>
      <c r="O696">
        <v>0</v>
      </c>
    </row>
    <row r="697" spans="1:15">
      <c r="A697">
        <v>0.22659539000000001</v>
      </c>
      <c r="B697">
        <v>-0.146505569</v>
      </c>
      <c r="C697">
        <v>0.113297695</v>
      </c>
      <c r="D697">
        <v>5.5300083999999999E-2</v>
      </c>
      <c r="E697">
        <v>4</v>
      </c>
      <c r="F697">
        <v>46</v>
      </c>
      <c r="G697">
        <v>10</v>
      </c>
      <c r="H697">
        <v>0</v>
      </c>
      <c r="I697">
        <v>2</v>
      </c>
      <c r="J697">
        <v>36.563602449999998</v>
      </c>
      <c r="K697">
        <v>21.55957222</v>
      </c>
      <c r="L697">
        <v>21.55957222</v>
      </c>
      <c r="M697">
        <v>3.0708198549999999</v>
      </c>
      <c r="N697">
        <v>1</v>
      </c>
      <c r="O697">
        <v>3.0708198549999999</v>
      </c>
    </row>
    <row r="698" spans="1:15">
      <c r="A698">
        <v>-0.94685653700000005</v>
      </c>
      <c r="B698">
        <v>-0.56689539</v>
      </c>
      <c r="C698">
        <v>-0.47342826799999999</v>
      </c>
      <c r="D698">
        <v>-1.0689136829999999</v>
      </c>
      <c r="E698">
        <v>5</v>
      </c>
      <c r="F698">
        <v>42</v>
      </c>
      <c r="G698">
        <v>12</v>
      </c>
      <c r="H698">
        <v>1</v>
      </c>
      <c r="I698">
        <v>1</v>
      </c>
      <c r="J698">
        <v>22.973035809999999</v>
      </c>
      <c r="K698">
        <v>15.71886063</v>
      </c>
      <c r="N698">
        <v>0</v>
      </c>
      <c r="O698">
        <v>0</v>
      </c>
    </row>
    <row r="699" spans="1:15">
      <c r="A699">
        <v>0.59409409800000001</v>
      </c>
      <c r="B699">
        <v>-0.40682280999999998</v>
      </c>
      <c r="C699">
        <v>0.29704704900000001</v>
      </c>
      <c r="D699">
        <v>0.12884972</v>
      </c>
      <c r="E699">
        <v>6</v>
      </c>
      <c r="F699">
        <v>38</v>
      </c>
      <c r="G699">
        <v>10</v>
      </c>
      <c r="H699">
        <v>1</v>
      </c>
      <c r="I699">
        <v>1</v>
      </c>
      <c r="J699">
        <v>34.246196750000003</v>
      </c>
      <c r="K699">
        <v>22.164564129999999</v>
      </c>
      <c r="L699">
        <v>22.164564129999999</v>
      </c>
      <c r="M699">
        <v>3.0984947680000001</v>
      </c>
      <c r="N699">
        <v>1</v>
      </c>
      <c r="O699">
        <v>3.0984947680000001</v>
      </c>
    </row>
    <row r="700" spans="1:15">
      <c r="A700">
        <v>0.74468370299999997</v>
      </c>
      <c r="B700">
        <v>8.4328438000000006E-2</v>
      </c>
      <c r="C700">
        <v>0.372341851</v>
      </c>
      <c r="D700">
        <v>0.58378788000000004</v>
      </c>
      <c r="E700">
        <v>7</v>
      </c>
      <c r="F700">
        <v>34</v>
      </c>
      <c r="G700">
        <v>10</v>
      </c>
      <c r="H700">
        <v>1</v>
      </c>
      <c r="I700">
        <v>5</v>
      </c>
      <c r="J700">
        <v>58.105453490000002</v>
      </c>
      <c r="K700">
        <v>22.268102649999999</v>
      </c>
      <c r="L700">
        <v>22.268102649999999</v>
      </c>
      <c r="M700">
        <v>3.103155375</v>
      </c>
      <c r="N700">
        <v>1</v>
      </c>
      <c r="O700">
        <v>3.103155375</v>
      </c>
    </row>
    <row r="701" spans="1:15">
      <c r="A701">
        <v>-2.448958341</v>
      </c>
      <c r="B701">
        <v>0.15577901799999999</v>
      </c>
      <c r="C701">
        <v>-1.224479171</v>
      </c>
      <c r="D701">
        <v>-1.6120855730000001</v>
      </c>
      <c r="E701">
        <v>8</v>
      </c>
      <c r="F701">
        <v>38</v>
      </c>
      <c r="G701">
        <v>12</v>
      </c>
      <c r="H701">
        <v>1</v>
      </c>
      <c r="I701">
        <v>1</v>
      </c>
      <c r="J701">
        <v>14.85497284</v>
      </c>
      <c r="K701">
        <v>5.90625</v>
      </c>
      <c r="N701">
        <v>0</v>
      </c>
      <c r="O701">
        <v>0</v>
      </c>
    </row>
    <row r="702" spans="1:15">
      <c r="A702">
        <v>0.96218872600000005</v>
      </c>
      <c r="B702">
        <v>0.181313804</v>
      </c>
      <c r="C702">
        <v>0.48109436300000002</v>
      </c>
      <c r="D702">
        <v>0.80571291599999995</v>
      </c>
      <c r="E702">
        <v>9</v>
      </c>
      <c r="F702">
        <v>43</v>
      </c>
      <c r="G702">
        <v>20</v>
      </c>
      <c r="H702">
        <v>1</v>
      </c>
      <c r="I702">
        <v>0</v>
      </c>
      <c r="J702">
        <v>46.868553159999998</v>
      </c>
      <c r="K702">
        <v>35.373130799999998</v>
      </c>
      <c r="L702">
        <v>35.373130799999998</v>
      </c>
      <c r="M702">
        <v>3.565952539</v>
      </c>
      <c r="N702">
        <v>1</v>
      </c>
      <c r="O702">
        <v>3.565952539</v>
      </c>
    </row>
    <row r="703" spans="1:15">
      <c r="A703">
        <v>1.6355633140000001</v>
      </c>
      <c r="B703">
        <v>-2.6000084999999999E-2</v>
      </c>
      <c r="C703">
        <v>0.81778165700000005</v>
      </c>
      <c r="D703">
        <v>1.1321014659999999</v>
      </c>
      <c r="E703">
        <v>0</v>
      </c>
      <c r="F703">
        <v>21</v>
      </c>
      <c r="G703">
        <v>10</v>
      </c>
      <c r="H703">
        <v>0</v>
      </c>
      <c r="I703">
        <v>3</v>
      </c>
      <c r="J703">
        <v>44.48521805</v>
      </c>
      <c r="K703">
        <v>25.013380049999999</v>
      </c>
      <c r="L703">
        <v>25.013380049999999</v>
      </c>
      <c r="M703">
        <v>3.2194108959999999</v>
      </c>
      <c r="N703">
        <v>1</v>
      </c>
      <c r="O703">
        <v>3.2194108959999999</v>
      </c>
    </row>
    <row r="704" spans="1:15">
      <c r="A704">
        <v>-0.58048695299999997</v>
      </c>
      <c r="B704">
        <v>9.4112987999999995E-2</v>
      </c>
      <c r="C704">
        <v>-0.290243476</v>
      </c>
      <c r="D704">
        <v>-0.34148279199999998</v>
      </c>
      <c r="E704">
        <v>1</v>
      </c>
      <c r="F704">
        <v>23</v>
      </c>
      <c r="G704">
        <v>10</v>
      </c>
      <c r="H704">
        <v>0</v>
      </c>
      <c r="I704">
        <v>4</v>
      </c>
      <c r="J704">
        <v>32.602207180000001</v>
      </c>
      <c r="K704">
        <v>12.117077829999999</v>
      </c>
      <c r="L704">
        <v>12.117077829999999</v>
      </c>
      <c r="M704">
        <v>2.4946157929999999</v>
      </c>
      <c r="N704">
        <v>1</v>
      </c>
      <c r="O704">
        <v>2.4946157929999999</v>
      </c>
    </row>
    <row r="705" spans="1:15">
      <c r="A705">
        <v>1.4216709320000001</v>
      </c>
      <c r="B705">
        <v>-0.47110362099999997</v>
      </c>
      <c r="C705">
        <v>0.71083546600000003</v>
      </c>
      <c r="D705">
        <v>0.66535201799999999</v>
      </c>
      <c r="E705">
        <v>2</v>
      </c>
      <c r="F705">
        <v>27</v>
      </c>
      <c r="G705">
        <v>12</v>
      </c>
      <c r="H705">
        <v>1</v>
      </c>
      <c r="I705">
        <v>3</v>
      </c>
      <c r="J705">
        <v>47.784225460000002</v>
      </c>
      <c r="K705">
        <v>26.930025100000002</v>
      </c>
      <c r="L705">
        <v>26.930025100000002</v>
      </c>
      <c r="M705">
        <v>3.2932417389999999</v>
      </c>
      <c r="N705">
        <v>1</v>
      </c>
      <c r="O705">
        <v>3.2932417389999999</v>
      </c>
    </row>
    <row r="706" spans="1:15">
      <c r="A706">
        <v>-1.0168453799999999</v>
      </c>
      <c r="B706">
        <v>0.35327251799999998</v>
      </c>
      <c r="C706">
        <v>-0.50842268999999995</v>
      </c>
      <c r="D706">
        <v>-0.46429610999999998</v>
      </c>
      <c r="E706">
        <v>3</v>
      </c>
      <c r="F706">
        <v>26</v>
      </c>
      <c r="G706">
        <v>16</v>
      </c>
      <c r="H706">
        <v>0</v>
      </c>
      <c r="I706">
        <v>3</v>
      </c>
      <c r="J706">
        <v>31.82844734</v>
      </c>
      <c r="K706">
        <v>16.098928449999999</v>
      </c>
      <c r="L706">
        <v>16.098928449999999</v>
      </c>
      <c r="M706">
        <v>2.7787528039999998</v>
      </c>
      <c r="N706">
        <v>1</v>
      </c>
      <c r="O706">
        <v>2.7787528039999998</v>
      </c>
    </row>
    <row r="707" spans="1:15">
      <c r="A707">
        <v>1.0547045429999999</v>
      </c>
      <c r="B707">
        <v>0.134406306</v>
      </c>
      <c r="C707">
        <v>0.52735227200000001</v>
      </c>
      <c r="D707">
        <v>0.83746387700000002</v>
      </c>
      <c r="E707">
        <v>4</v>
      </c>
      <c r="F707">
        <v>33</v>
      </c>
      <c r="G707">
        <v>16</v>
      </c>
      <c r="H707">
        <v>1</v>
      </c>
      <c r="I707">
        <v>1</v>
      </c>
      <c r="J707">
        <v>45.24956512</v>
      </c>
      <c r="K707">
        <v>29.928226469999998</v>
      </c>
      <c r="L707">
        <v>29.928226469999998</v>
      </c>
      <c r="M707">
        <v>3.3988020419999998</v>
      </c>
      <c r="N707">
        <v>1</v>
      </c>
      <c r="O707">
        <v>3.3988020419999998</v>
      </c>
    </row>
    <row r="708" spans="1:15">
      <c r="A708">
        <v>-0.47179734699999998</v>
      </c>
      <c r="B708">
        <v>-0.10584718799999999</v>
      </c>
      <c r="C708">
        <v>-0.235898674</v>
      </c>
      <c r="D708">
        <v>-0.40711016100000003</v>
      </c>
      <c r="E708">
        <v>5</v>
      </c>
      <c r="F708">
        <v>37</v>
      </c>
      <c r="G708">
        <v>12</v>
      </c>
      <c r="H708">
        <v>1</v>
      </c>
      <c r="I708">
        <v>1</v>
      </c>
      <c r="J708">
        <v>28.91467857</v>
      </c>
      <c r="K708">
        <v>17.56921577</v>
      </c>
      <c r="N708">
        <v>0</v>
      </c>
      <c r="O708">
        <v>0</v>
      </c>
    </row>
    <row r="709" spans="1:15">
      <c r="A709">
        <v>-0.59968549900000001</v>
      </c>
      <c r="B709">
        <v>-0.44286087400000002</v>
      </c>
      <c r="C709">
        <v>-0.29984274900000002</v>
      </c>
      <c r="D709">
        <v>-0.73655136499999996</v>
      </c>
      <c r="E709">
        <v>6</v>
      </c>
      <c r="F709">
        <v>32</v>
      </c>
      <c r="G709">
        <v>16</v>
      </c>
      <c r="H709">
        <v>1</v>
      </c>
      <c r="I709">
        <v>4</v>
      </c>
      <c r="J709">
        <v>40.961383820000002</v>
      </c>
      <c r="K709">
        <v>19.80188751</v>
      </c>
      <c r="L709">
        <v>19.80188751</v>
      </c>
      <c r="M709">
        <v>2.9857773779999999</v>
      </c>
      <c r="N709">
        <v>1</v>
      </c>
      <c r="O709">
        <v>2.9857773779999999</v>
      </c>
    </row>
    <row r="710" spans="1:15">
      <c r="A710">
        <v>0.51432502000000002</v>
      </c>
      <c r="B710">
        <v>-1.117947271</v>
      </c>
      <c r="C710">
        <v>0.25716251000000001</v>
      </c>
      <c r="D710">
        <v>-0.43257659399999998</v>
      </c>
      <c r="E710">
        <v>7</v>
      </c>
      <c r="F710">
        <v>34</v>
      </c>
      <c r="G710">
        <v>10</v>
      </c>
      <c r="H710">
        <v>1</v>
      </c>
      <c r="I710">
        <v>5</v>
      </c>
      <c r="J710">
        <v>45.909080510000003</v>
      </c>
      <c r="K710">
        <v>20.885950090000001</v>
      </c>
      <c r="L710">
        <v>20.885950090000001</v>
      </c>
      <c r="M710">
        <v>3.0390768050000001</v>
      </c>
      <c r="N710">
        <v>1</v>
      </c>
      <c r="O710">
        <v>3.0390768050000001</v>
      </c>
    </row>
    <row r="711" spans="1:15">
      <c r="A711">
        <v>-0.62737885800000004</v>
      </c>
      <c r="B711">
        <v>0.198584973</v>
      </c>
      <c r="C711">
        <v>-0.31368942900000002</v>
      </c>
      <c r="D711">
        <v>-0.30023433300000002</v>
      </c>
      <c r="E711">
        <v>8</v>
      </c>
      <c r="F711">
        <v>39</v>
      </c>
      <c r="G711">
        <v>12</v>
      </c>
      <c r="H711">
        <v>1</v>
      </c>
      <c r="I711">
        <v>5</v>
      </c>
      <c r="J711">
        <v>50.997188569999999</v>
      </c>
      <c r="K711">
        <v>17.03572655</v>
      </c>
      <c r="L711">
        <v>17.03572655</v>
      </c>
      <c r="M711">
        <v>2.8353126049999999</v>
      </c>
      <c r="N711">
        <v>1</v>
      </c>
      <c r="O711">
        <v>2.8353126049999999</v>
      </c>
    </row>
    <row r="712" spans="1:15">
      <c r="A712">
        <v>-0.82675550600000003</v>
      </c>
      <c r="B712">
        <v>0.138366034</v>
      </c>
      <c r="C712">
        <v>-0.41337775300000001</v>
      </c>
      <c r="D712">
        <v>-0.48328103700000002</v>
      </c>
      <c r="E712">
        <v>9</v>
      </c>
      <c r="F712">
        <v>39</v>
      </c>
      <c r="G712">
        <v>16</v>
      </c>
      <c r="H712">
        <v>1</v>
      </c>
      <c r="I712">
        <v>4</v>
      </c>
      <c r="J712">
        <v>46.800628660000001</v>
      </c>
      <c r="K712">
        <v>19.839466089999998</v>
      </c>
      <c r="L712">
        <v>19.839466089999998</v>
      </c>
      <c r="M712">
        <v>2.9876732829999999</v>
      </c>
      <c r="N712">
        <v>1</v>
      </c>
      <c r="O712">
        <v>2.9876732829999999</v>
      </c>
    </row>
    <row r="713" spans="1:15">
      <c r="A713">
        <v>1.663502636</v>
      </c>
      <c r="B713">
        <v>-3.4441613000000003E-2</v>
      </c>
      <c r="C713">
        <v>0.83175131800000002</v>
      </c>
      <c r="D713">
        <v>1.1457576780000001</v>
      </c>
      <c r="E713">
        <v>0</v>
      </c>
      <c r="F713">
        <v>21</v>
      </c>
      <c r="G713">
        <v>12</v>
      </c>
      <c r="H713">
        <v>0</v>
      </c>
      <c r="I713">
        <v>2</v>
      </c>
      <c r="J713">
        <v>41.149093630000003</v>
      </c>
      <c r="K713">
        <v>27.181015009999999</v>
      </c>
      <c r="L713">
        <v>27.181015009999999</v>
      </c>
      <c r="M713">
        <v>3.3025188449999998</v>
      </c>
      <c r="N713">
        <v>1</v>
      </c>
      <c r="O713">
        <v>3.3025188449999998</v>
      </c>
    </row>
    <row r="714" spans="1:15">
      <c r="A714">
        <v>0.54694666400000003</v>
      </c>
      <c r="B714">
        <v>0.63706918099999998</v>
      </c>
      <c r="C714">
        <v>0.27347333200000001</v>
      </c>
      <c r="D714">
        <v>0.83745149500000005</v>
      </c>
      <c r="E714">
        <v>1</v>
      </c>
      <c r="F714">
        <v>24</v>
      </c>
      <c r="G714">
        <v>10</v>
      </c>
      <c r="H714">
        <v>0</v>
      </c>
      <c r="I714">
        <v>4</v>
      </c>
      <c r="J714">
        <v>47.149417880000001</v>
      </c>
      <c r="K714">
        <v>19.081680299999999</v>
      </c>
      <c r="L714">
        <v>19.081680299999999</v>
      </c>
      <c r="M714">
        <v>2.9487288</v>
      </c>
      <c r="N714">
        <v>1</v>
      </c>
      <c r="O714">
        <v>2.9487288</v>
      </c>
    </row>
    <row r="715" spans="1:15">
      <c r="A715">
        <v>0.62654406699999998</v>
      </c>
      <c r="B715">
        <v>1.1642226200000001</v>
      </c>
      <c r="C715">
        <v>0.31327203399999998</v>
      </c>
      <c r="D715">
        <v>1.26803091</v>
      </c>
      <c r="E715">
        <v>2</v>
      </c>
      <c r="F715">
        <v>51</v>
      </c>
      <c r="G715">
        <v>16</v>
      </c>
      <c r="H715">
        <v>1</v>
      </c>
      <c r="I715">
        <v>0</v>
      </c>
      <c r="J715">
        <v>52.616371149999999</v>
      </c>
      <c r="K715">
        <v>30.95926476</v>
      </c>
      <c r="L715">
        <v>30.95926476</v>
      </c>
      <c r="M715">
        <v>3.4326722620000001</v>
      </c>
      <c r="N715">
        <v>1</v>
      </c>
      <c r="O715">
        <v>3.4326722620000001</v>
      </c>
    </row>
    <row r="716" spans="1:15">
      <c r="A716">
        <v>-1.1656792490000001</v>
      </c>
      <c r="B716">
        <v>-1.0336394680000001</v>
      </c>
      <c r="C716">
        <v>-0.58283962499999997</v>
      </c>
      <c r="D716">
        <v>-1.5545088279999999</v>
      </c>
      <c r="E716">
        <v>3</v>
      </c>
      <c r="F716">
        <v>41</v>
      </c>
      <c r="G716">
        <v>12</v>
      </c>
      <c r="H716">
        <v>1</v>
      </c>
      <c r="I716">
        <v>0</v>
      </c>
      <c r="J716">
        <v>11.74589443</v>
      </c>
      <c r="K716">
        <v>14.20592403</v>
      </c>
      <c r="N716">
        <v>0</v>
      </c>
      <c r="O716">
        <v>0</v>
      </c>
    </row>
    <row r="717" spans="1:15">
      <c r="A717">
        <v>-0.40027432899999998</v>
      </c>
      <c r="B717">
        <v>0.59304789300000005</v>
      </c>
      <c r="C717">
        <v>-0.20013716500000001</v>
      </c>
      <c r="D717">
        <v>0.13982531000000001</v>
      </c>
      <c r="E717">
        <v>4</v>
      </c>
      <c r="F717">
        <v>35</v>
      </c>
      <c r="G717">
        <v>12</v>
      </c>
      <c r="H717">
        <v>1</v>
      </c>
      <c r="I717">
        <v>0</v>
      </c>
      <c r="J717">
        <v>29.677904130000002</v>
      </c>
      <c r="K717">
        <v>17.59835434</v>
      </c>
      <c r="L717">
        <v>17.59835434</v>
      </c>
      <c r="M717">
        <v>2.867805481</v>
      </c>
      <c r="N717">
        <v>1</v>
      </c>
      <c r="O717">
        <v>2.867805481</v>
      </c>
    </row>
    <row r="718" spans="1:15">
      <c r="A718">
        <v>0.48840182199999999</v>
      </c>
      <c r="B718">
        <v>0.790625103</v>
      </c>
      <c r="C718">
        <v>0.24420091099999999</v>
      </c>
      <c r="D718">
        <v>0.90538047700000002</v>
      </c>
      <c r="E718">
        <v>5</v>
      </c>
      <c r="F718">
        <v>50</v>
      </c>
      <c r="G718">
        <v>12</v>
      </c>
      <c r="H718">
        <v>1</v>
      </c>
      <c r="I718">
        <v>4</v>
      </c>
      <c r="J718">
        <v>64.864562989999996</v>
      </c>
      <c r="K718">
        <v>25.930410389999999</v>
      </c>
      <c r="L718">
        <v>25.930410389999999</v>
      </c>
      <c r="M718">
        <v>3.255416393</v>
      </c>
      <c r="N718">
        <v>1</v>
      </c>
      <c r="O718">
        <v>3.255416393</v>
      </c>
    </row>
    <row r="719" spans="1:15">
      <c r="A719">
        <v>1.2251009429999999</v>
      </c>
      <c r="B719">
        <v>0.58905534999999998</v>
      </c>
      <c r="C719">
        <v>0.61255047200000001</v>
      </c>
      <c r="D719">
        <v>1.2803978709999999</v>
      </c>
      <c r="E719">
        <v>6</v>
      </c>
      <c r="F719">
        <v>44</v>
      </c>
      <c r="G719">
        <v>12</v>
      </c>
      <c r="H719">
        <v>1</v>
      </c>
      <c r="I719">
        <v>1</v>
      </c>
      <c r="J719">
        <v>51.964775090000003</v>
      </c>
      <c r="K719">
        <v>29.150606159999999</v>
      </c>
      <c r="L719">
        <v>29.150606159999999</v>
      </c>
      <c r="M719">
        <v>3.3724756239999998</v>
      </c>
      <c r="N719">
        <v>1</v>
      </c>
      <c r="O719">
        <v>3.3724756239999998</v>
      </c>
    </row>
    <row r="720" spans="1:15">
      <c r="A720">
        <v>0.82327436799999998</v>
      </c>
      <c r="B720">
        <v>0.50499831699999997</v>
      </c>
      <c r="C720">
        <v>0.41163718399999999</v>
      </c>
      <c r="D720">
        <v>0.937993992</v>
      </c>
      <c r="E720">
        <v>7</v>
      </c>
      <c r="F720">
        <v>35</v>
      </c>
      <c r="G720">
        <v>12</v>
      </c>
      <c r="H720">
        <v>1</v>
      </c>
      <c r="I720">
        <v>4</v>
      </c>
      <c r="J720">
        <v>59.255928040000001</v>
      </c>
      <c r="K720">
        <v>24.939645769999998</v>
      </c>
      <c r="L720">
        <v>24.939645769999998</v>
      </c>
      <c r="M720">
        <v>3.216458797</v>
      </c>
      <c r="N720">
        <v>1</v>
      </c>
      <c r="O720">
        <v>3.216458797</v>
      </c>
    </row>
    <row r="721" spans="1:15">
      <c r="A721">
        <v>-0.24075732</v>
      </c>
      <c r="B721">
        <v>-0.90316713000000004</v>
      </c>
      <c r="C721">
        <v>-0.12037866</v>
      </c>
      <c r="D721">
        <v>-0.81113907100000004</v>
      </c>
      <c r="E721">
        <v>8</v>
      </c>
      <c r="F721">
        <v>42</v>
      </c>
      <c r="G721">
        <v>20</v>
      </c>
      <c r="H721">
        <v>1</v>
      </c>
      <c r="I721">
        <v>2</v>
      </c>
      <c r="J721">
        <v>37.066329959999997</v>
      </c>
      <c r="K721">
        <v>27.955455780000001</v>
      </c>
      <c r="L721">
        <v>27.955455780000001</v>
      </c>
      <c r="M721">
        <v>3.3306124210000001</v>
      </c>
      <c r="N721">
        <v>1</v>
      </c>
      <c r="O721">
        <v>3.3306124210000001</v>
      </c>
    </row>
    <row r="722" spans="1:15">
      <c r="A722">
        <v>-1.9319476799999999</v>
      </c>
      <c r="B722">
        <v>-0.18530480599999999</v>
      </c>
      <c r="C722">
        <v>-0.96597383999999997</v>
      </c>
      <c r="D722">
        <v>-1.490749254</v>
      </c>
      <c r="E722">
        <v>9</v>
      </c>
      <c r="F722">
        <v>38</v>
      </c>
      <c r="G722">
        <v>16</v>
      </c>
      <c r="H722">
        <v>1</v>
      </c>
      <c r="I722">
        <v>1</v>
      </c>
      <c r="J722">
        <v>19.311008449999999</v>
      </c>
      <c r="K722">
        <v>13.00831413</v>
      </c>
      <c r="N722">
        <v>0</v>
      </c>
      <c r="O722">
        <v>0</v>
      </c>
    </row>
    <row r="723" spans="1:15">
      <c r="A723">
        <v>1.864359632</v>
      </c>
      <c r="B723">
        <v>0.36327050599999999</v>
      </c>
      <c r="C723">
        <v>0.93217981599999999</v>
      </c>
      <c r="D723">
        <v>1.569661674</v>
      </c>
      <c r="E723">
        <v>0</v>
      </c>
      <c r="F723">
        <v>36</v>
      </c>
      <c r="G723">
        <v>12</v>
      </c>
      <c r="H723">
        <v>0</v>
      </c>
      <c r="I723">
        <v>1</v>
      </c>
      <c r="J723">
        <v>47.235939029999997</v>
      </c>
      <c r="K723">
        <v>31.386157990000001</v>
      </c>
      <c r="L723">
        <v>31.386157990000001</v>
      </c>
      <c r="M723">
        <v>3.4463670249999998</v>
      </c>
      <c r="N723">
        <v>1</v>
      </c>
      <c r="O723">
        <v>3.4463670249999998</v>
      </c>
    </row>
    <row r="724" spans="1:15">
      <c r="A724">
        <v>-0.313345343</v>
      </c>
      <c r="B724">
        <v>-0.77431595200000003</v>
      </c>
      <c r="C724">
        <v>-0.15667267100000001</v>
      </c>
      <c r="D724">
        <v>-0.77064380200000004</v>
      </c>
      <c r="E724">
        <v>1</v>
      </c>
      <c r="F724">
        <v>36</v>
      </c>
      <c r="G724">
        <v>10</v>
      </c>
      <c r="H724">
        <v>0</v>
      </c>
      <c r="I724">
        <v>2</v>
      </c>
      <c r="J724">
        <v>22.65227509</v>
      </c>
      <c r="K724">
        <v>16.31992722</v>
      </c>
      <c r="N724">
        <v>0</v>
      </c>
      <c r="O724">
        <v>0</v>
      </c>
    </row>
    <row r="725" spans="1:15">
      <c r="A725">
        <v>-0.31387074199999998</v>
      </c>
      <c r="B725">
        <v>-0.60791434799999999</v>
      </c>
      <c r="C725">
        <v>-0.15693537099999999</v>
      </c>
      <c r="D725">
        <v>-0.65277175300000001</v>
      </c>
      <c r="E725">
        <v>2</v>
      </c>
      <c r="F725">
        <v>34</v>
      </c>
      <c r="G725">
        <v>10</v>
      </c>
      <c r="H725">
        <v>1</v>
      </c>
      <c r="I725">
        <v>3</v>
      </c>
      <c r="J725">
        <v>33.266738889999999</v>
      </c>
      <c r="K725">
        <v>15.916775700000001</v>
      </c>
      <c r="L725">
        <v>15.916775700000001</v>
      </c>
      <c r="M725">
        <v>2.767373562</v>
      </c>
      <c r="N725">
        <v>1</v>
      </c>
      <c r="O725">
        <v>2.767373562</v>
      </c>
    </row>
    <row r="726" spans="1:15">
      <c r="A726">
        <v>0.53889354</v>
      </c>
      <c r="B726">
        <v>0.67862815200000004</v>
      </c>
      <c r="C726">
        <v>0.26944677</v>
      </c>
      <c r="D726">
        <v>0.86131730399999995</v>
      </c>
      <c r="E726">
        <v>3</v>
      </c>
      <c r="F726">
        <v>36</v>
      </c>
      <c r="G726">
        <v>12</v>
      </c>
      <c r="H726">
        <v>0</v>
      </c>
      <c r="I726">
        <v>1</v>
      </c>
      <c r="J726">
        <v>38.735809330000002</v>
      </c>
      <c r="K726">
        <v>23.433361049999998</v>
      </c>
      <c r="L726">
        <v>23.433361049999998</v>
      </c>
      <c r="M726">
        <v>3.1541607379999999</v>
      </c>
      <c r="N726">
        <v>1</v>
      </c>
      <c r="O726">
        <v>3.1541607379999999</v>
      </c>
    </row>
    <row r="727" spans="1:15">
      <c r="A727">
        <v>0.76763763500000004</v>
      </c>
      <c r="B727">
        <v>-0.71655203599999995</v>
      </c>
      <c r="C727">
        <v>0.38381881699999998</v>
      </c>
      <c r="D727">
        <v>3.0845726E-2</v>
      </c>
      <c r="E727">
        <v>4</v>
      </c>
      <c r="F727">
        <v>28</v>
      </c>
      <c r="G727">
        <v>16</v>
      </c>
      <c r="H727">
        <v>1</v>
      </c>
      <c r="I727">
        <v>4</v>
      </c>
      <c r="J727">
        <v>48.570148469999999</v>
      </c>
      <c r="K727">
        <v>27.20582581</v>
      </c>
      <c r="L727">
        <v>27.20582581</v>
      </c>
      <c r="M727">
        <v>3.3034310339999999</v>
      </c>
      <c r="N727">
        <v>1</v>
      </c>
      <c r="O727">
        <v>3.3034310339999999</v>
      </c>
    </row>
    <row r="728" spans="1:15">
      <c r="A728">
        <v>1.023218317</v>
      </c>
      <c r="B728">
        <v>-0.34862383299999999</v>
      </c>
      <c r="C728">
        <v>0.51160915900000004</v>
      </c>
      <c r="D728">
        <v>0.47208256900000001</v>
      </c>
      <c r="E728">
        <v>5</v>
      </c>
      <c r="F728">
        <v>30</v>
      </c>
      <c r="G728">
        <v>12</v>
      </c>
      <c r="H728">
        <v>1</v>
      </c>
      <c r="I728">
        <v>3</v>
      </c>
      <c r="J728">
        <v>46.664989470000002</v>
      </c>
      <c r="K728">
        <v>25.13931084</v>
      </c>
      <c r="L728">
        <v>25.13931084</v>
      </c>
      <c r="M728">
        <v>3.2244327070000001</v>
      </c>
      <c r="N728">
        <v>1</v>
      </c>
      <c r="O728">
        <v>3.2244327070000001</v>
      </c>
    </row>
    <row r="729" spans="1:15">
      <c r="A729">
        <v>0.33270826199999998</v>
      </c>
      <c r="B729">
        <v>-0.51740732</v>
      </c>
      <c r="C729">
        <v>0.16635413099999999</v>
      </c>
      <c r="D729">
        <v>-0.13360761700000001</v>
      </c>
      <c r="E729">
        <v>6</v>
      </c>
      <c r="F729">
        <v>32</v>
      </c>
      <c r="G729">
        <v>16</v>
      </c>
      <c r="H729">
        <v>0</v>
      </c>
      <c r="I729">
        <v>2</v>
      </c>
      <c r="J729">
        <v>33.19670868</v>
      </c>
      <c r="K729">
        <v>25.396249770000001</v>
      </c>
      <c r="L729">
        <v>25.396249770000001</v>
      </c>
      <c r="M729">
        <v>3.234601498</v>
      </c>
      <c r="N729">
        <v>1</v>
      </c>
      <c r="O729">
        <v>3.234601498</v>
      </c>
    </row>
    <row r="730" spans="1:15">
      <c r="A730">
        <v>1.9105375769999999</v>
      </c>
      <c r="B730">
        <v>1.8385147079999999</v>
      </c>
      <c r="C730">
        <v>0.95526878800000004</v>
      </c>
      <c r="D730">
        <v>2.650425705</v>
      </c>
      <c r="E730">
        <v>7</v>
      </c>
      <c r="F730">
        <v>38</v>
      </c>
      <c r="G730">
        <v>16</v>
      </c>
      <c r="H730">
        <v>0</v>
      </c>
      <c r="I730">
        <v>3</v>
      </c>
      <c r="J730">
        <v>74.005111690000007</v>
      </c>
      <c r="K730">
        <v>36.06322479</v>
      </c>
      <c r="L730">
        <v>36.06322479</v>
      </c>
      <c r="M730">
        <v>3.5852737430000001</v>
      </c>
      <c r="N730">
        <v>1</v>
      </c>
      <c r="O730">
        <v>3.5852737430000001</v>
      </c>
    </row>
    <row r="731" spans="1:15">
      <c r="A731">
        <v>0.81589047800000003</v>
      </c>
      <c r="B731">
        <v>-0.53265327900000004</v>
      </c>
      <c r="C731">
        <v>0.40794523900000002</v>
      </c>
      <c r="D731">
        <v>0.19546513700000001</v>
      </c>
      <c r="E731">
        <v>8</v>
      </c>
      <c r="F731">
        <v>36</v>
      </c>
      <c r="G731">
        <v>20</v>
      </c>
      <c r="H731">
        <v>1</v>
      </c>
      <c r="I731">
        <v>0</v>
      </c>
      <c r="J731">
        <v>36.745582579999997</v>
      </c>
      <c r="K731">
        <v>33.095344539999999</v>
      </c>
      <c r="L731">
        <v>33.095344539999999</v>
      </c>
      <c r="M731">
        <v>3.4993925090000002</v>
      </c>
      <c r="N731">
        <v>1</v>
      </c>
      <c r="O731">
        <v>3.4993925090000002</v>
      </c>
    </row>
    <row r="732" spans="1:15">
      <c r="A732">
        <v>7.3178109999999996E-3</v>
      </c>
      <c r="B732">
        <v>2.077497701</v>
      </c>
      <c r="C732">
        <v>3.658906E-3</v>
      </c>
      <c r="D732">
        <v>1.4813762239999999</v>
      </c>
      <c r="E732">
        <v>9</v>
      </c>
      <c r="F732">
        <v>39</v>
      </c>
      <c r="G732">
        <v>12</v>
      </c>
      <c r="H732">
        <v>1</v>
      </c>
      <c r="I732">
        <v>3</v>
      </c>
      <c r="J732">
        <v>62.37651443</v>
      </c>
      <c r="K732">
        <v>20.843906400000002</v>
      </c>
      <c r="L732">
        <v>20.843906400000002</v>
      </c>
      <c r="M732">
        <v>3.0370616909999999</v>
      </c>
      <c r="N732">
        <v>1</v>
      </c>
      <c r="O732">
        <v>3.0370616909999999</v>
      </c>
    </row>
    <row r="733" spans="1:15">
      <c r="A733">
        <v>-0.115828375</v>
      </c>
      <c r="B733">
        <v>0.27228517200000002</v>
      </c>
      <c r="C733">
        <v>-5.7914187999999998E-2</v>
      </c>
      <c r="D733">
        <v>0.111998125</v>
      </c>
      <c r="E733">
        <v>0</v>
      </c>
      <c r="F733">
        <v>30</v>
      </c>
      <c r="G733">
        <v>10</v>
      </c>
      <c r="H733">
        <v>0</v>
      </c>
      <c r="I733">
        <v>1</v>
      </c>
      <c r="J733">
        <v>25.84397697</v>
      </c>
      <c r="K733">
        <v>16.305028920000002</v>
      </c>
      <c r="N733">
        <v>0</v>
      </c>
      <c r="O733">
        <v>0</v>
      </c>
    </row>
    <row r="734" spans="1:15">
      <c r="A734">
        <v>-0.81198089900000003</v>
      </c>
      <c r="B734">
        <v>0.90543790800000001</v>
      </c>
      <c r="C734">
        <v>-0.40599045</v>
      </c>
      <c r="D734">
        <v>7.2178456000000002E-2</v>
      </c>
      <c r="E734">
        <v>1</v>
      </c>
      <c r="F734">
        <v>29</v>
      </c>
      <c r="G734">
        <v>20</v>
      </c>
      <c r="H734">
        <v>1</v>
      </c>
      <c r="I734">
        <v>1</v>
      </c>
      <c r="J734">
        <v>37.466140750000001</v>
      </c>
      <c r="K734">
        <v>21.928113939999999</v>
      </c>
      <c r="L734">
        <v>21.928113939999999</v>
      </c>
      <c r="M734">
        <v>3.0877695080000001</v>
      </c>
      <c r="N734">
        <v>1</v>
      </c>
      <c r="O734">
        <v>3.0877695080000001</v>
      </c>
    </row>
    <row r="735" spans="1:15">
      <c r="A735">
        <v>0.58303751800000003</v>
      </c>
      <c r="B735">
        <v>1.1882172959999999</v>
      </c>
      <c r="C735">
        <v>0.29151875900000002</v>
      </c>
      <c r="D735">
        <v>1.2544753120000001</v>
      </c>
      <c r="E735">
        <v>2</v>
      </c>
      <c r="F735">
        <v>44</v>
      </c>
      <c r="G735">
        <v>10</v>
      </c>
      <c r="H735">
        <v>1</v>
      </c>
      <c r="I735">
        <v>3</v>
      </c>
      <c r="J735">
        <v>60.153705600000002</v>
      </c>
      <c r="K735">
        <v>23.2982254</v>
      </c>
      <c r="L735">
        <v>23.2982254</v>
      </c>
      <c r="M735">
        <v>3.1483771800000002</v>
      </c>
      <c r="N735">
        <v>1</v>
      </c>
      <c r="O735">
        <v>3.1483771800000002</v>
      </c>
    </row>
    <row r="736" spans="1:15">
      <c r="A736">
        <v>0.61290839799999997</v>
      </c>
      <c r="B736">
        <v>0.81526138299999995</v>
      </c>
      <c r="C736">
        <v>0.30645419899999998</v>
      </c>
      <c r="D736">
        <v>1.01047369</v>
      </c>
      <c r="E736">
        <v>3</v>
      </c>
      <c r="F736">
        <v>46</v>
      </c>
      <c r="G736">
        <v>20</v>
      </c>
      <c r="H736">
        <v>1</v>
      </c>
      <c r="I736">
        <v>0</v>
      </c>
      <c r="J736">
        <v>50.52568436</v>
      </c>
      <c r="K736">
        <v>33.877449040000002</v>
      </c>
      <c r="L736">
        <v>33.877449040000002</v>
      </c>
      <c r="M736">
        <v>3.5227496619999998</v>
      </c>
      <c r="N736">
        <v>1</v>
      </c>
      <c r="O736">
        <v>3.5227496619999998</v>
      </c>
    </row>
    <row r="737" spans="1:15">
      <c r="A737">
        <v>-0.24505897600000001</v>
      </c>
      <c r="B737">
        <v>0.68973083700000004</v>
      </c>
      <c r="C737">
        <v>-0.12252948800000001</v>
      </c>
      <c r="D737">
        <v>0.31771627400000002</v>
      </c>
      <c r="E737">
        <v>4</v>
      </c>
      <c r="F737">
        <v>47</v>
      </c>
      <c r="G737">
        <v>20</v>
      </c>
      <c r="H737">
        <v>1</v>
      </c>
      <c r="I737">
        <v>0</v>
      </c>
      <c r="J737">
        <v>42.612594600000001</v>
      </c>
      <c r="K737">
        <v>28.929645539999999</v>
      </c>
      <c r="L737">
        <v>28.929645539999999</v>
      </c>
      <c r="M737">
        <v>3.3648669720000002</v>
      </c>
      <c r="N737">
        <v>1</v>
      </c>
      <c r="O737">
        <v>3.3648669720000002</v>
      </c>
    </row>
    <row r="738" spans="1:15">
      <c r="A738">
        <v>-0.54062001000000004</v>
      </c>
      <c r="B738">
        <v>-0.137141228</v>
      </c>
      <c r="C738">
        <v>-0.27031000500000002</v>
      </c>
      <c r="D738">
        <v>-0.47776204799999999</v>
      </c>
      <c r="E738">
        <v>5</v>
      </c>
      <c r="F738">
        <v>33</v>
      </c>
      <c r="G738">
        <v>16</v>
      </c>
      <c r="H738">
        <v>1</v>
      </c>
      <c r="I738">
        <v>1</v>
      </c>
      <c r="J738">
        <v>29.466856</v>
      </c>
      <c r="K738">
        <v>20.356279369999999</v>
      </c>
      <c r="L738">
        <v>20.356279369999999</v>
      </c>
      <c r="M738">
        <v>3.0133893490000001</v>
      </c>
      <c r="N738">
        <v>1</v>
      </c>
      <c r="O738">
        <v>3.0133893490000001</v>
      </c>
    </row>
    <row r="739" spans="1:15">
      <c r="A739">
        <v>-1.1636990540000001</v>
      </c>
      <c r="B739">
        <v>-0.32665550999999998</v>
      </c>
      <c r="C739">
        <v>-0.58184952700000003</v>
      </c>
      <c r="D739">
        <v>-1.0507471450000001</v>
      </c>
      <c r="E739">
        <v>6</v>
      </c>
      <c r="F739">
        <v>32</v>
      </c>
      <c r="G739">
        <v>16</v>
      </c>
      <c r="H739">
        <v>0</v>
      </c>
      <c r="I739">
        <v>1</v>
      </c>
      <c r="J739">
        <v>17.19103432</v>
      </c>
      <c r="K739">
        <v>16.417806630000001</v>
      </c>
      <c r="N739">
        <v>0</v>
      </c>
      <c r="O739">
        <v>0</v>
      </c>
    </row>
    <row r="740" spans="1:15">
      <c r="A740">
        <v>0.77793955800000003</v>
      </c>
      <c r="B740">
        <v>0.37560299200000002</v>
      </c>
      <c r="C740">
        <v>0.38896977900000002</v>
      </c>
      <c r="D740">
        <v>0.81415639100000003</v>
      </c>
      <c r="E740">
        <v>7</v>
      </c>
      <c r="F740">
        <v>34</v>
      </c>
      <c r="G740">
        <v>16</v>
      </c>
      <c r="H740">
        <v>1</v>
      </c>
      <c r="I740">
        <v>0</v>
      </c>
      <c r="J740">
        <v>40.369876859999998</v>
      </c>
      <c r="K740">
        <v>28.467638019999999</v>
      </c>
      <c r="L740">
        <v>28.467638019999999</v>
      </c>
      <c r="M740">
        <v>3.3487679959999999</v>
      </c>
      <c r="N740">
        <v>1</v>
      </c>
      <c r="O740">
        <v>3.3487679959999999</v>
      </c>
    </row>
    <row r="741" spans="1:15">
      <c r="A741">
        <v>8.7133197999999995E-2</v>
      </c>
      <c r="B741">
        <v>0.4461328</v>
      </c>
      <c r="C741">
        <v>4.3566598999999998E-2</v>
      </c>
      <c r="D741">
        <v>0.378309006</v>
      </c>
      <c r="E741">
        <v>8</v>
      </c>
      <c r="F741">
        <v>37</v>
      </c>
      <c r="G741">
        <v>16</v>
      </c>
      <c r="H741">
        <v>1</v>
      </c>
      <c r="I741">
        <v>0</v>
      </c>
      <c r="J741">
        <v>36.339706419999999</v>
      </c>
      <c r="K741">
        <v>24.92280006</v>
      </c>
      <c r="L741">
        <v>24.92280006</v>
      </c>
      <c r="M741">
        <v>3.2157831190000001</v>
      </c>
      <c r="N741">
        <v>1</v>
      </c>
      <c r="O741">
        <v>3.2157831190000001</v>
      </c>
    </row>
    <row r="742" spans="1:15">
      <c r="A742">
        <v>-7.9200677999999997E-2</v>
      </c>
      <c r="B742">
        <v>-0.63462519399999995</v>
      </c>
      <c r="C742">
        <v>-3.9600338999999998E-2</v>
      </c>
      <c r="D742">
        <v>-0.50666761000000005</v>
      </c>
      <c r="E742">
        <v>9</v>
      </c>
      <c r="F742">
        <v>52</v>
      </c>
      <c r="G742">
        <v>12</v>
      </c>
      <c r="H742">
        <v>1</v>
      </c>
      <c r="I742">
        <v>1</v>
      </c>
      <c r="J742">
        <v>33.719989779999999</v>
      </c>
      <c r="K742">
        <v>22.924795150000001</v>
      </c>
      <c r="L742">
        <v>22.924795150000001</v>
      </c>
      <c r="M742">
        <v>3.1322190760000002</v>
      </c>
      <c r="N742">
        <v>1</v>
      </c>
      <c r="O742">
        <v>3.1322190760000002</v>
      </c>
    </row>
    <row r="743" spans="1:15">
      <c r="A743">
        <v>0.31482361399999997</v>
      </c>
      <c r="B743">
        <v>2.070433532</v>
      </c>
      <c r="C743">
        <v>0.15741180699999999</v>
      </c>
      <c r="D743">
        <v>1.6926789680000001</v>
      </c>
      <c r="E743">
        <v>0</v>
      </c>
      <c r="F743">
        <v>30</v>
      </c>
      <c r="G743">
        <v>10</v>
      </c>
      <c r="H743">
        <v>1</v>
      </c>
      <c r="I743">
        <v>0</v>
      </c>
      <c r="J743">
        <v>44.812149050000002</v>
      </c>
      <c r="K743">
        <v>18.888940810000001</v>
      </c>
      <c r="L743">
        <v>18.888940810000001</v>
      </c>
      <c r="M743">
        <v>2.9385766979999999</v>
      </c>
      <c r="N743">
        <v>1</v>
      </c>
      <c r="O743">
        <v>2.9385766979999999</v>
      </c>
    </row>
    <row r="744" spans="1:15">
      <c r="A744">
        <v>-1.265740482</v>
      </c>
      <c r="B744">
        <v>-0.58816604500000003</v>
      </c>
      <c r="C744">
        <v>-0.632870241</v>
      </c>
      <c r="D744">
        <v>-1.308354816</v>
      </c>
      <c r="E744">
        <v>1</v>
      </c>
      <c r="F744">
        <v>53</v>
      </c>
      <c r="G744">
        <v>10</v>
      </c>
      <c r="H744">
        <v>0</v>
      </c>
      <c r="I744">
        <v>1</v>
      </c>
      <c r="J744">
        <v>17.999742510000001</v>
      </c>
      <c r="K744">
        <v>14.005557059999999</v>
      </c>
      <c r="N744">
        <v>0</v>
      </c>
      <c r="O744">
        <v>0</v>
      </c>
    </row>
    <row r="745" spans="1:15">
      <c r="A745">
        <v>1.067047321</v>
      </c>
      <c r="B745">
        <v>-0.49696378699999999</v>
      </c>
      <c r="C745">
        <v>0.53352366100000004</v>
      </c>
      <c r="D745">
        <v>0.39750773700000003</v>
      </c>
      <c r="E745">
        <v>2</v>
      </c>
      <c r="F745">
        <v>29</v>
      </c>
      <c r="G745">
        <v>16</v>
      </c>
      <c r="H745">
        <v>1</v>
      </c>
      <c r="I745">
        <v>0</v>
      </c>
      <c r="J745">
        <v>33.370094299999998</v>
      </c>
      <c r="K745">
        <v>29.202283860000001</v>
      </c>
      <c r="L745">
        <v>29.202283860000001</v>
      </c>
      <c r="M745">
        <v>3.3742468360000002</v>
      </c>
      <c r="N745">
        <v>1</v>
      </c>
      <c r="O745">
        <v>3.3742468360000002</v>
      </c>
    </row>
    <row r="746" spans="1:15">
      <c r="A746">
        <v>-0.73576562300000004</v>
      </c>
      <c r="B746">
        <v>0.86741506999999995</v>
      </c>
      <c r="C746">
        <v>-0.36788281099999998</v>
      </c>
      <c r="D746">
        <v>9.8775667999999997E-2</v>
      </c>
      <c r="E746">
        <v>3</v>
      </c>
      <c r="F746">
        <v>59</v>
      </c>
      <c r="G746">
        <v>20</v>
      </c>
      <c r="H746">
        <v>1</v>
      </c>
      <c r="I746">
        <v>2</v>
      </c>
      <c r="J746">
        <v>54.785308839999999</v>
      </c>
      <c r="K746">
        <v>28.385406490000001</v>
      </c>
      <c r="L746">
        <v>28.385406490000001</v>
      </c>
      <c r="M746">
        <v>3.3458752629999999</v>
      </c>
      <c r="N746">
        <v>1</v>
      </c>
      <c r="O746">
        <v>3.3458752629999999</v>
      </c>
    </row>
    <row r="747" spans="1:15">
      <c r="A747">
        <v>-0.20230434</v>
      </c>
      <c r="B747">
        <v>-0.338816911</v>
      </c>
      <c r="C747">
        <v>-0.10115217</v>
      </c>
      <c r="D747">
        <v>-0.383072409</v>
      </c>
      <c r="E747">
        <v>4</v>
      </c>
      <c r="F747">
        <v>29</v>
      </c>
      <c r="G747">
        <v>10</v>
      </c>
      <c r="H747">
        <v>0</v>
      </c>
      <c r="I747">
        <v>3</v>
      </c>
      <c r="J747">
        <v>29.503131870000001</v>
      </c>
      <c r="K747">
        <v>15.586174010000001</v>
      </c>
      <c r="L747">
        <v>15.586174010000001</v>
      </c>
      <c r="M747">
        <v>2.7463841439999999</v>
      </c>
      <c r="N747">
        <v>1</v>
      </c>
      <c r="O747">
        <v>2.7463841439999999</v>
      </c>
    </row>
    <row r="748" spans="1:15">
      <c r="A748">
        <v>0.79170814700000003</v>
      </c>
      <c r="B748">
        <v>0.77535132900000003</v>
      </c>
      <c r="C748">
        <v>0.39585407299999997</v>
      </c>
      <c r="D748">
        <v>1.107895415</v>
      </c>
      <c r="E748">
        <v>5</v>
      </c>
      <c r="F748">
        <v>42</v>
      </c>
      <c r="G748">
        <v>16</v>
      </c>
      <c r="H748">
        <v>1</v>
      </c>
      <c r="I748">
        <v>1</v>
      </c>
      <c r="J748">
        <v>52.094745639999999</v>
      </c>
      <c r="K748">
        <v>30.150249479999999</v>
      </c>
      <c r="L748">
        <v>30.150249479999999</v>
      </c>
      <c r="M748">
        <v>3.4061932559999999</v>
      </c>
      <c r="N748">
        <v>1</v>
      </c>
      <c r="O748">
        <v>3.4061932559999999</v>
      </c>
    </row>
    <row r="749" spans="1:15">
      <c r="A749">
        <v>1.2779586089999999</v>
      </c>
      <c r="B749">
        <v>-0.25052970200000002</v>
      </c>
      <c r="C749">
        <v>0.63897930400000003</v>
      </c>
      <c r="D749">
        <v>0.72098952299999997</v>
      </c>
      <c r="E749">
        <v>6</v>
      </c>
      <c r="F749">
        <v>34</v>
      </c>
      <c r="G749">
        <v>20</v>
      </c>
      <c r="H749">
        <v>1</v>
      </c>
      <c r="I749">
        <v>2</v>
      </c>
      <c r="J749">
        <v>52.251873019999998</v>
      </c>
      <c r="K749">
        <v>35.467750549999998</v>
      </c>
      <c r="L749">
        <v>35.467750549999998</v>
      </c>
      <c r="M749">
        <v>3.5686237809999999</v>
      </c>
      <c r="N749">
        <v>1</v>
      </c>
      <c r="O749">
        <v>3.5686237809999999</v>
      </c>
    </row>
    <row r="750" spans="1:15">
      <c r="A750">
        <v>0.33589466600000001</v>
      </c>
      <c r="B750">
        <v>-0.19829551200000001</v>
      </c>
      <c r="C750">
        <v>0.167947333</v>
      </c>
      <c r="D750">
        <v>9.5388406999999995E-2</v>
      </c>
      <c r="E750">
        <v>7</v>
      </c>
      <c r="F750">
        <v>39</v>
      </c>
      <c r="G750">
        <v>12</v>
      </c>
      <c r="H750">
        <v>1</v>
      </c>
      <c r="I750">
        <v>1</v>
      </c>
      <c r="J750">
        <v>35.744659419999998</v>
      </c>
      <c r="K750">
        <v>22.81536865</v>
      </c>
      <c r="L750">
        <v>22.81536865</v>
      </c>
      <c r="M750">
        <v>3.1274342540000002</v>
      </c>
      <c r="N750">
        <v>1</v>
      </c>
      <c r="O750">
        <v>3.1274342540000002</v>
      </c>
    </row>
    <row r="751" spans="1:15">
      <c r="A751">
        <v>1.3710576999999999</v>
      </c>
      <c r="B751">
        <v>0.289124298</v>
      </c>
      <c r="C751">
        <v>0.68552884999999997</v>
      </c>
      <c r="D751">
        <v>1.1699496760000001</v>
      </c>
      <c r="E751">
        <v>8</v>
      </c>
      <c r="F751">
        <v>38</v>
      </c>
      <c r="G751">
        <v>20</v>
      </c>
      <c r="H751">
        <v>1</v>
      </c>
      <c r="I751">
        <v>3</v>
      </c>
      <c r="J751">
        <v>64.239395139999999</v>
      </c>
      <c r="K751">
        <v>36.826347349999999</v>
      </c>
      <c r="L751">
        <v>36.826347349999999</v>
      </c>
      <c r="M751">
        <v>3.60621357</v>
      </c>
      <c r="N751">
        <v>1</v>
      </c>
      <c r="O751">
        <v>3.60621357</v>
      </c>
    </row>
    <row r="752" spans="1:15">
      <c r="A752">
        <v>-1.190185434</v>
      </c>
      <c r="B752">
        <v>-0.19412233800000001</v>
      </c>
      <c r="C752">
        <v>-0.59509271699999999</v>
      </c>
      <c r="D752">
        <v>-0.97520420699999999</v>
      </c>
      <c r="E752">
        <v>9</v>
      </c>
      <c r="F752">
        <v>40</v>
      </c>
      <c r="G752">
        <v>12</v>
      </c>
      <c r="H752">
        <v>1</v>
      </c>
      <c r="I752">
        <v>1</v>
      </c>
      <c r="J752">
        <v>23.2975502</v>
      </c>
      <c r="K752">
        <v>13.85888767</v>
      </c>
      <c r="N752">
        <v>0</v>
      </c>
      <c r="O752">
        <v>0</v>
      </c>
    </row>
    <row r="753" spans="1:15">
      <c r="A753">
        <v>-0.68418067999999999</v>
      </c>
      <c r="B753">
        <v>-1.2742016359999999</v>
      </c>
      <c r="C753">
        <v>-0.34209033999999999</v>
      </c>
      <c r="D753">
        <v>-1.386725671</v>
      </c>
      <c r="E753">
        <v>0</v>
      </c>
      <c r="F753">
        <v>20</v>
      </c>
      <c r="G753">
        <v>12</v>
      </c>
      <c r="H753">
        <v>0</v>
      </c>
      <c r="I753">
        <v>2</v>
      </c>
      <c r="J753">
        <v>10.359292030000001</v>
      </c>
      <c r="K753">
        <v>12.894915579999999</v>
      </c>
      <c r="N753">
        <v>0</v>
      </c>
      <c r="O753">
        <v>0</v>
      </c>
    </row>
    <row r="754" spans="1:15">
      <c r="A754">
        <v>9.8099687000000005E-2</v>
      </c>
      <c r="B754">
        <v>1.2716521649999999</v>
      </c>
      <c r="C754">
        <v>4.9049844000000002E-2</v>
      </c>
      <c r="D754">
        <v>0.97262120500000004</v>
      </c>
      <c r="E754">
        <v>1</v>
      </c>
      <c r="F754">
        <v>28</v>
      </c>
      <c r="G754">
        <v>10</v>
      </c>
      <c r="H754">
        <v>0</v>
      </c>
      <c r="I754">
        <v>1</v>
      </c>
      <c r="J754">
        <v>35.37145615</v>
      </c>
      <c r="K754">
        <v>17.188598630000001</v>
      </c>
      <c r="L754">
        <v>17.188598630000001</v>
      </c>
      <c r="M754">
        <v>2.8442463870000001</v>
      </c>
      <c r="N754">
        <v>1</v>
      </c>
      <c r="O754">
        <v>2.8442463870000001</v>
      </c>
    </row>
    <row r="755" spans="1:15">
      <c r="A755">
        <v>-8.6485583000000005E-2</v>
      </c>
      <c r="B755">
        <v>-0.83697277999999997</v>
      </c>
      <c r="C755">
        <v>-4.3242792000000002E-2</v>
      </c>
      <c r="D755">
        <v>-0.65557650199999995</v>
      </c>
      <c r="E755">
        <v>2</v>
      </c>
      <c r="F755">
        <v>34</v>
      </c>
      <c r="G755">
        <v>12</v>
      </c>
      <c r="H755">
        <v>1</v>
      </c>
      <c r="I755">
        <v>2</v>
      </c>
      <c r="J755">
        <v>29.733081819999999</v>
      </c>
      <c r="K755">
        <v>19.281085969999999</v>
      </c>
      <c r="L755">
        <v>19.281085969999999</v>
      </c>
      <c r="M755">
        <v>2.9591245650000002</v>
      </c>
      <c r="N755">
        <v>1</v>
      </c>
      <c r="O755">
        <v>2.9591245650000002</v>
      </c>
    </row>
    <row r="756" spans="1:15">
      <c r="A756">
        <v>-1.153786604</v>
      </c>
      <c r="B756">
        <v>1.3135335539999999</v>
      </c>
      <c r="C756">
        <v>-0.576893302</v>
      </c>
      <c r="D756">
        <v>0.12171156599999999</v>
      </c>
      <c r="E756">
        <v>3</v>
      </c>
      <c r="F756">
        <v>31</v>
      </c>
      <c r="G756">
        <v>16</v>
      </c>
      <c r="H756">
        <v>0</v>
      </c>
      <c r="I756">
        <v>4</v>
      </c>
      <c r="J756">
        <v>45.860538480000002</v>
      </c>
      <c r="K756">
        <v>16.277280810000001</v>
      </c>
      <c r="L756">
        <v>16.277280810000001</v>
      </c>
      <c r="M756">
        <v>2.7897703649999999</v>
      </c>
      <c r="N756">
        <v>1</v>
      </c>
      <c r="O756">
        <v>2.7897703649999999</v>
      </c>
    </row>
    <row r="757" spans="1:15">
      <c r="A757">
        <v>-0.88310748900000002</v>
      </c>
      <c r="B757">
        <v>-5.387376E-2</v>
      </c>
      <c r="C757">
        <v>-0.441553745</v>
      </c>
      <c r="D757">
        <v>-0.65952495799999999</v>
      </c>
      <c r="E757">
        <v>4</v>
      </c>
      <c r="F757">
        <v>36</v>
      </c>
      <c r="G757">
        <v>10</v>
      </c>
      <c r="H757">
        <v>1</v>
      </c>
      <c r="I757">
        <v>0</v>
      </c>
      <c r="J757">
        <v>18.985700609999999</v>
      </c>
      <c r="K757">
        <v>12.901354789999999</v>
      </c>
      <c r="N757">
        <v>0</v>
      </c>
      <c r="O757">
        <v>0</v>
      </c>
    </row>
    <row r="758" spans="1:15">
      <c r="A758">
        <v>1.2222182049999999</v>
      </c>
      <c r="B758">
        <v>0.12941216</v>
      </c>
      <c r="C758">
        <v>0.61110910200000002</v>
      </c>
      <c r="D758">
        <v>0.951756677</v>
      </c>
      <c r="E758">
        <v>5</v>
      </c>
      <c r="F758">
        <v>39</v>
      </c>
      <c r="G758">
        <v>10</v>
      </c>
      <c r="H758">
        <v>1</v>
      </c>
      <c r="I758">
        <v>0</v>
      </c>
      <c r="J758">
        <v>39.521080019999999</v>
      </c>
      <c r="K758">
        <v>26.133308410000001</v>
      </c>
      <c r="L758">
        <v>26.133308410000001</v>
      </c>
      <c r="M758">
        <v>3.263210773</v>
      </c>
      <c r="N758">
        <v>1</v>
      </c>
      <c r="O758">
        <v>3.263210773</v>
      </c>
    </row>
    <row r="759" spans="1:15">
      <c r="A759">
        <v>-1.3563250440000001</v>
      </c>
      <c r="B759">
        <v>0.54445134900000003</v>
      </c>
      <c r="C759">
        <v>-0.67816252200000005</v>
      </c>
      <c r="D759">
        <v>-0.56726344200000001</v>
      </c>
      <c r="E759">
        <v>6</v>
      </c>
      <c r="F759">
        <v>46</v>
      </c>
      <c r="G759">
        <v>12</v>
      </c>
      <c r="H759">
        <v>1</v>
      </c>
      <c r="I759">
        <v>0</v>
      </c>
      <c r="J759">
        <v>25.59283829</v>
      </c>
      <c r="K759">
        <v>14.062049869999999</v>
      </c>
      <c r="N759">
        <v>0</v>
      </c>
      <c r="O759">
        <v>0</v>
      </c>
    </row>
    <row r="760" spans="1:15">
      <c r="A760">
        <v>0.17013925699999999</v>
      </c>
      <c r="B760">
        <v>-2.8034351999999998E-2</v>
      </c>
      <c r="C760">
        <v>8.5069628999999994E-2</v>
      </c>
      <c r="D760">
        <v>9.9767929000000005E-2</v>
      </c>
      <c r="E760">
        <v>7</v>
      </c>
      <c r="F760">
        <v>35</v>
      </c>
      <c r="G760">
        <v>12</v>
      </c>
      <c r="H760">
        <v>1</v>
      </c>
      <c r="I760">
        <v>1</v>
      </c>
      <c r="J760">
        <v>34.19721603</v>
      </c>
      <c r="K760">
        <v>21.02083588</v>
      </c>
      <c r="L760">
        <v>21.02083588</v>
      </c>
      <c r="M760">
        <v>3.0455141069999998</v>
      </c>
      <c r="N760">
        <v>1</v>
      </c>
      <c r="O760">
        <v>3.0455141069999998</v>
      </c>
    </row>
    <row r="761" spans="1:15">
      <c r="A761">
        <v>-0.18780044100000001</v>
      </c>
      <c r="B761">
        <v>6.8044170000000001E-2</v>
      </c>
      <c r="C761">
        <v>-9.3900220000000006E-2</v>
      </c>
      <c r="D761">
        <v>-8.3761938999999994E-2</v>
      </c>
      <c r="E761">
        <v>8</v>
      </c>
      <c r="F761">
        <v>36</v>
      </c>
      <c r="G761">
        <v>16</v>
      </c>
      <c r="H761">
        <v>1</v>
      </c>
      <c r="I761">
        <v>4</v>
      </c>
      <c r="J761">
        <v>50.394855499999998</v>
      </c>
      <c r="K761">
        <v>23.073196410000001</v>
      </c>
      <c r="L761">
        <v>23.073196410000001</v>
      </c>
      <c r="M761">
        <v>3.1386716369999998</v>
      </c>
      <c r="N761">
        <v>1</v>
      </c>
      <c r="O761">
        <v>3.1386716369999998</v>
      </c>
    </row>
    <row r="762" spans="1:15">
      <c r="A762">
        <v>-1.363121781</v>
      </c>
      <c r="B762">
        <v>0.149555939</v>
      </c>
      <c r="C762">
        <v>-0.68156088999999997</v>
      </c>
      <c r="D762">
        <v>-0.85264955499999995</v>
      </c>
      <c r="E762">
        <v>9</v>
      </c>
      <c r="F762">
        <v>40</v>
      </c>
      <c r="G762">
        <v>16</v>
      </c>
      <c r="H762">
        <v>1</v>
      </c>
      <c r="I762">
        <v>2</v>
      </c>
      <c r="J762">
        <v>32.768203739999997</v>
      </c>
      <c r="K762">
        <v>16.821269990000001</v>
      </c>
      <c r="L762">
        <v>16.821269990000001</v>
      </c>
      <c r="M762">
        <v>2.8226442340000002</v>
      </c>
      <c r="N762">
        <v>1</v>
      </c>
      <c r="O762">
        <v>2.8226442340000002</v>
      </c>
    </row>
    <row r="763" spans="1:15">
      <c r="A763">
        <v>0.100451524</v>
      </c>
      <c r="B763">
        <v>-0.36922625199999998</v>
      </c>
      <c r="C763">
        <v>5.0225762E-2</v>
      </c>
      <c r="D763">
        <v>-0.19169973700000001</v>
      </c>
      <c r="E763">
        <v>0</v>
      </c>
      <c r="F763">
        <v>38</v>
      </c>
      <c r="G763">
        <v>10</v>
      </c>
      <c r="H763">
        <v>0</v>
      </c>
      <c r="I763">
        <v>0</v>
      </c>
      <c r="J763">
        <v>20.399602890000001</v>
      </c>
      <c r="K763">
        <v>19.202709200000001</v>
      </c>
      <c r="N763">
        <v>0</v>
      </c>
      <c r="O763">
        <v>0</v>
      </c>
    </row>
    <row r="764" spans="1:15">
      <c r="A764">
        <v>1.144868365</v>
      </c>
      <c r="B764">
        <v>2.836809395</v>
      </c>
      <c r="C764">
        <v>0.57243418199999996</v>
      </c>
      <c r="D764">
        <v>2.8211654089999998</v>
      </c>
      <c r="E764">
        <v>1</v>
      </c>
      <c r="F764">
        <v>23</v>
      </c>
      <c r="G764">
        <v>10</v>
      </c>
      <c r="H764">
        <v>0</v>
      </c>
      <c r="I764">
        <v>3</v>
      </c>
      <c r="J764">
        <v>65.553985600000004</v>
      </c>
      <c r="K764">
        <v>22.469209670000001</v>
      </c>
      <c r="L764">
        <v>22.469209670000001</v>
      </c>
      <c r="M764">
        <v>3.1121459009999999</v>
      </c>
      <c r="N764">
        <v>1</v>
      </c>
      <c r="O764">
        <v>3.1121459009999999</v>
      </c>
    </row>
    <row r="765" spans="1:15">
      <c r="A765">
        <v>2.4636389749999998</v>
      </c>
      <c r="B765">
        <v>-0.85600630600000005</v>
      </c>
      <c r="C765">
        <v>1.231819488</v>
      </c>
      <c r="D765">
        <v>1.124845509</v>
      </c>
      <c r="E765">
        <v>2</v>
      </c>
      <c r="F765">
        <v>27</v>
      </c>
      <c r="G765">
        <v>20</v>
      </c>
      <c r="H765">
        <v>1</v>
      </c>
      <c r="I765">
        <v>0</v>
      </c>
      <c r="J765">
        <v>44.298145290000001</v>
      </c>
      <c r="K765">
        <v>41.181835169999999</v>
      </c>
      <c r="L765">
        <v>41.181835169999999</v>
      </c>
      <c r="M765">
        <v>3.7179973130000001</v>
      </c>
      <c r="N765">
        <v>1</v>
      </c>
      <c r="O765">
        <v>3.7179973130000001</v>
      </c>
    </row>
    <row r="766" spans="1:15">
      <c r="A766">
        <v>3.8283352999999999E-2</v>
      </c>
      <c r="B766">
        <v>-1.156428711</v>
      </c>
      <c r="C766">
        <v>1.9141676999999999E-2</v>
      </c>
      <c r="D766">
        <v>-0.79480377099999999</v>
      </c>
      <c r="E766">
        <v>3</v>
      </c>
      <c r="F766">
        <v>28</v>
      </c>
      <c r="G766">
        <v>12</v>
      </c>
      <c r="H766">
        <v>1</v>
      </c>
      <c r="I766">
        <v>1</v>
      </c>
      <c r="J766">
        <v>20.662355420000001</v>
      </c>
      <c r="K766">
        <v>18.829700469999999</v>
      </c>
      <c r="N766">
        <v>0</v>
      </c>
      <c r="O766">
        <v>0</v>
      </c>
    </row>
    <row r="767" spans="1:15">
      <c r="A767">
        <v>-0.52241412700000001</v>
      </c>
      <c r="B767">
        <v>-8.2681181000000006E-2</v>
      </c>
      <c r="C767">
        <v>-0.26120706399999999</v>
      </c>
      <c r="D767">
        <v>-0.42625645899999998</v>
      </c>
      <c r="E767">
        <v>4</v>
      </c>
      <c r="F767">
        <v>31</v>
      </c>
      <c r="G767">
        <v>16</v>
      </c>
      <c r="H767">
        <v>1</v>
      </c>
      <c r="I767">
        <v>0</v>
      </c>
      <c r="J767">
        <v>24.284921650000001</v>
      </c>
      <c r="K767">
        <v>20.065515520000002</v>
      </c>
      <c r="N767">
        <v>0</v>
      </c>
      <c r="O767">
        <v>0</v>
      </c>
    </row>
    <row r="768" spans="1:15">
      <c r="A768">
        <v>-1.811948455</v>
      </c>
      <c r="B768">
        <v>0.98666432299999995</v>
      </c>
      <c r="C768">
        <v>-0.90597422699999997</v>
      </c>
      <c r="D768">
        <v>-0.57355506199999995</v>
      </c>
      <c r="E768">
        <v>5</v>
      </c>
      <c r="F768">
        <v>39</v>
      </c>
      <c r="G768">
        <v>12</v>
      </c>
      <c r="H768">
        <v>1</v>
      </c>
      <c r="I768">
        <v>0</v>
      </c>
      <c r="J768">
        <v>22.717338560000002</v>
      </c>
      <c r="K768">
        <v>9.9283094409999997</v>
      </c>
      <c r="N768">
        <v>0</v>
      </c>
      <c r="O768">
        <v>0</v>
      </c>
    </row>
    <row r="769" spans="1:15">
      <c r="A769">
        <v>1.6972205149999999</v>
      </c>
      <c r="B769">
        <v>1.6884441109999999</v>
      </c>
      <c r="C769">
        <v>0.84861025800000001</v>
      </c>
      <c r="D769">
        <v>2.3937254870000002</v>
      </c>
      <c r="E769">
        <v>6</v>
      </c>
      <c r="F769">
        <v>34</v>
      </c>
      <c r="G769">
        <v>16</v>
      </c>
      <c r="H769">
        <v>1</v>
      </c>
      <c r="I769">
        <v>1</v>
      </c>
      <c r="J769">
        <v>64.324707029999999</v>
      </c>
      <c r="K769">
        <v>33.983322139999999</v>
      </c>
      <c r="L769">
        <v>33.983322139999999</v>
      </c>
      <c r="M769">
        <v>3.525869846</v>
      </c>
      <c r="N769">
        <v>1</v>
      </c>
      <c r="O769">
        <v>3.525869846</v>
      </c>
    </row>
    <row r="770" spans="1:15">
      <c r="A770">
        <v>-0.93619216800000005</v>
      </c>
      <c r="B770">
        <v>-0.72382408600000003</v>
      </c>
      <c r="C770">
        <v>-0.46809608400000002</v>
      </c>
      <c r="D770">
        <v>-1.1729219689999999</v>
      </c>
      <c r="E770">
        <v>7</v>
      </c>
      <c r="F770">
        <v>35</v>
      </c>
      <c r="G770">
        <v>16</v>
      </c>
      <c r="H770">
        <v>1</v>
      </c>
      <c r="I770">
        <v>3</v>
      </c>
      <c r="J770">
        <v>31.924936290000002</v>
      </c>
      <c r="K770">
        <v>18.382846829999998</v>
      </c>
      <c r="L770">
        <v>18.382846829999998</v>
      </c>
      <c r="M770">
        <v>2.9114179610000002</v>
      </c>
      <c r="N770">
        <v>1</v>
      </c>
      <c r="O770">
        <v>2.9114179610000002</v>
      </c>
    </row>
    <row r="771" spans="1:15">
      <c r="A771">
        <v>-0.33234280100000002</v>
      </c>
      <c r="B771">
        <v>-0.31677756400000001</v>
      </c>
      <c r="C771">
        <v>-0.166171401</v>
      </c>
      <c r="D771">
        <v>-0.45889039300000001</v>
      </c>
      <c r="E771">
        <v>8</v>
      </c>
      <c r="F771">
        <v>36</v>
      </c>
      <c r="G771">
        <v>16</v>
      </c>
      <c r="H771">
        <v>1</v>
      </c>
      <c r="I771">
        <v>1</v>
      </c>
      <c r="J771">
        <v>30.893314360000002</v>
      </c>
      <c r="K771">
        <v>22.20594406</v>
      </c>
      <c r="L771">
        <v>22.20594406</v>
      </c>
      <c r="M771">
        <v>3.100359917</v>
      </c>
      <c r="N771">
        <v>1</v>
      </c>
      <c r="O771">
        <v>3.100359917</v>
      </c>
    </row>
    <row r="772" spans="1:15">
      <c r="A772">
        <v>0.26915297500000002</v>
      </c>
      <c r="B772">
        <v>-0.68845285099999998</v>
      </c>
      <c r="C772">
        <v>0.13457648699999999</v>
      </c>
      <c r="D772">
        <v>-0.29985865699999997</v>
      </c>
      <c r="E772">
        <v>9</v>
      </c>
      <c r="F772">
        <v>41</v>
      </c>
      <c r="G772">
        <v>16</v>
      </c>
      <c r="H772">
        <v>1</v>
      </c>
      <c r="I772">
        <v>1</v>
      </c>
      <c r="J772">
        <v>34.80169678</v>
      </c>
      <c r="K772">
        <v>26.814918519999999</v>
      </c>
      <c r="L772">
        <v>26.814918519999999</v>
      </c>
      <c r="M772">
        <v>3.288958311</v>
      </c>
      <c r="N772">
        <v>1</v>
      </c>
      <c r="O772">
        <v>3.288958311</v>
      </c>
    </row>
    <row r="773" spans="1:15">
      <c r="A773">
        <v>-0.218438837</v>
      </c>
      <c r="B773">
        <v>-1.0531359220000001</v>
      </c>
      <c r="C773">
        <v>-0.109219418</v>
      </c>
      <c r="D773">
        <v>-0.90200341900000003</v>
      </c>
      <c r="E773">
        <v>0</v>
      </c>
      <c r="F773">
        <v>42</v>
      </c>
      <c r="G773">
        <v>10</v>
      </c>
      <c r="H773">
        <v>0</v>
      </c>
      <c r="I773">
        <v>0</v>
      </c>
      <c r="J773">
        <v>13.475958820000001</v>
      </c>
      <c r="K773">
        <v>18.089366909999999</v>
      </c>
      <c r="N773">
        <v>0</v>
      </c>
      <c r="O773">
        <v>0</v>
      </c>
    </row>
    <row r="774" spans="1:15">
      <c r="A774">
        <v>0.99146053000000001</v>
      </c>
      <c r="B774">
        <v>1.0216012E-2</v>
      </c>
      <c r="C774">
        <v>0.495730265</v>
      </c>
      <c r="D774">
        <v>0.70472620500000005</v>
      </c>
      <c r="E774">
        <v>1</v>
      </c>
      <c r="F774">
        <v>22</v>
      </c>
      <c r="G774">
        <v>12</v>
      </c>
      <c r="H774">
        <v>0</v>
      </c>
      <c r="I774">
        <v>2</v>
      </c>
      <c r="J774">
        <v>36.256713869999999</v>
      </c>
      <c r="K774">
        <v>23.34876251</v>
      </c>
      <c r="L774">
        <v>23.34876251</v>
      </c>
      <c r="M774">
        <v>3.1505439279999998</v>
      </c>
      <c r="N774">
        <v>1</v>
      </c>
      <c r="O774">
        <v>3.1505439279999998</v>
      </c>
    </row>
    <row r="775" spans="1:15">
      <c r="A775">
        <v>2.666062261</v>
      </c>
      <c r="B775">
        <v>0.62978389700000004</v>
      </c>
      <c r="C775">
        <v>1.33303113</v>
      </c>
      <c r="D775">
        <v>2.323017884</v>
      </c>
      <c r="E775">
        <v>2</v>
      </c>
      <c r="F775">
        <v>28</v>
      </c>
      <c r="G775">
        <v>10</v>
      </c>
      <c r="H775">
        <v>1</v>
      </c>
      <c r="I775">
        <v>3</v>
      </c>
      <c r="J775">
        <v>66.576217650000004</v>
      </c>
      <c r="K775">
        <v>32.596374509999997</v>
      </c>
      <c r="L775">
        <v>32.596374509999997</v>
      </c>
      <c r="M775">
        <v>3.4842009539999999</v>
      </c>
      <c r="N775">
        <v>1</v>
      </c>
      <c r="O775">
        <v>3.4842009539999999</v>
      </c>
    </row>
    <row r="776" spans="1:15">
      <c r="A776">
        <v>0.23221961799999999</v>
      </c>
      <c r="B776">
        <v>0.27756319200000001</v>
      </c>
      <c r="C776">
        <v>0.11610980899999999</v>
      </c>
      <c r="D776">
        <v>0.360591367</v>
      </c>
      <c r="E776">
        <v>3</v>
      </c>
      <c r="F776">
        <v>27</v>
      </c>
      <c r="G776">
        <v>12</v>
      </c>
      <c r="H776">
        <v>1</v>
      </c>
      <c r="I776">
        <v>3</v>
      </c>
      <c r="J776">
        <v>44.127098080000003</v>
      </c>
      <c r="K776">
        <v>19.79331779</v>
      </c>
      <c r="L776">
        <v>19.79331779</v>
      </c>
      <c r="M776">
        <v>2.9853444100000002</v>
      </c>
      <c r="N776">
        <v>1</v>
      </c>
      <c r="O776">
        <v>2.9853444100000002</v>
      </c>
    </row>
    <row r="777" spans="1:15">
      <c r="A777">
        <v>-0.34151021300000001</v>
      </c>
      <c r="B777">
        <v>0.29977035000000002</v>
      </c>
      <c r="C777">
        <v>-0.17075510599999999</v>
      </c>
      <c r="D777">
        <v>-2.7232809E-2</v>
      </c>
      <c r="E777">
        <v>4</v>
      </c>
      <c r="F777">
        <v>38</v>
      </c>
      <c r="G777">
        <v>16</v>
      </c>
      <c r="H777">
        <v>1</v>
      </c>
      <c r="I777">
        <v>2</v>
      </c>
      <c r="J777">
        <v>41.873207090000001</v>
      </c>
      <c r="K777">
        <v>22.55093956</v>
      </c>
      <c r="L777">
        <v>22.55093956</v>
      </c>
      <c r="M777">
        <v>3.1157767770000002</v>
      </c>
      <c r="N777">
        <v>1</v>
      </c>
      <c r="O777">
        <v>3.1157767770000002</v>
      </c>
    </row>
    <row r="778" spans="1:15">
      <c r="A778">
        <v>0.215255537</v>
      </c>
      <c r="B778">
        <v>-1.993663024</v>
      </c>
      <c r="C778">
        <v>0.107627769</v>
      </c>
      <c r="D778">
        <v>-1.265230369</v>
      </c>
      <c r="E778">
        <v>5</v>
      </c>
      <c r="F778">
        <v>30</v>
      </c>
      <c r="G778">
        <v>12</v>
      </c>
      <c r="H778">
        <v>0</v>
      </c>
      <c r="I778">
        <v>1</v>
      </c>
      <c r="J778">
        <v>10.817235950000001</v>
      </c>
      <c r="K778">
        <v>20.291532520000001</v>
      </c>
      <c r="N778">
        <v>0</v>
      </c>
      <c r="O778">
        <v>0</v>
      </c>
    </row>
    <row r="779" spans="1:15">
      <c r="A779">
        <v>0.53539288699999998</v>
      </c>
      <c r="B779">
        <v>-0.40185997899999998</v>
      </c>
      <c r="C779">
        <v>0.26769644399999998</v>
      </c>
      <c r="D779">
        <v>9.1081419999999996E-2</v>
      </c>
      <c r="E779">
        <v>6</v>
      </c>
      <c r="F779">
        <v>33</v>
      </c>
      <c r="G779">
        <v>10</v>
      </c>
      <c r="H779">
        <v>1</v>
      </c>
      <c r="I779">
        <v>1</v>
      </c>
      <c r="J779">
        <v>31.792976379999999</v>
      </c>
      <c r="K779">
        <v>20.812356950000002</v>
      </c>
      <c r="L779">
        <v>20.812356950000002</v>
      </c>
      <c r="M779">
        <v>3.0355467799999998</v>
      </c>
      <c r="N779">
        <v>1</v>
      </c>
      <c r="O779">
        <v>3.0355467799999998</v>
      </c>
    </row>
    <row r="780" spans="1:15">
      <c r="A780">
        <v>0.16410760799999999</v>
      </c>
      <c r="B780">
        <v>1.0488459590000001</v>
      </c>
      <c r="C780">
        <v>8.2053803999999994E-2</v>
      </c>
      <c r="D780">
        <v>0.86073443999999999</v>
      </c>
      <c r="E780">
        <v>7</v>
      </c>
      <c r="F780">
        <v>38</v>
      </c>
      <c r="G780">
        <v>16</v>
      </c>
      <c r="H780">
        <v>1</v>
      </c>
      <c r="I780">
        <v>1</v>
      </c>
      <c r="J780">
        <v>47.52881241</v>
      </c>
      <c r="K780">
        <v>25.58464622</v>
      </c>
      <c r="L780">
        <v>25.58464622</v>
      </c>
      <c r="M780">
        <v>3.2419924739999999</v>
      </c>
      <c r="N780">
        <v>1</v>
      </c>
      <c r="O780">
        <v>3.2419924739999999</v>
      </c>
    </row>
    <row r="781" spans="1:15">
      <c r="A781">
        <v>-2.336277087</v>
      </c>
      <c r="B781">
        <v>-1.2395887889999999</v>
      </c>
      <c r="C781">
        <v>-1.1681385440000001</v>
      </c>
      <c r="D781">
        <v>-2.5243376849999999</v>
      </c>
      <c r="E781">
        <v>8</v>
      </c>
      <c r="F781">
        <v>37</v>
      </c>
      <c r="G781">
        <v>16</v>
      </c>
      <c r="H781">
        <v>1</v>
      </c>
      <c r="I781">
        <v>1</v>
      </c>
      <c r="J781">
        <v>6.5079479219999996</v>
      </c>
      <c r="K781">
        <v>10.382337570000001</v>
      </c>
      <c r="N781">
        <v>0</v>
      </c>
      <c r="O781">
        <v>0</v>
      </c>
    </row>
    <row r="782" spans="1:15">
      <c r="A782">
        <v>-1.5537504559999999</v>
      </c>
      <c r="B782">
        <v>0.400414785</v>
      </c>
      <c r="C782">
        <v>-0.77687522799999997</v>
      </c>
      <c r="D782">
        <v>-0.80849663000000005</v>
      </c>
      <c r="E782">
        <v>9</v>
      </c>
      <c r="F782">
        <v>41</v>
      </c>
      <c r="G782">
        <v>16</v>
      </c>
      <c r="H782">
        <v>1</v>
      </c>
      <c r="I782">
        <v>4</v>
      </c>
      <c r="J782">
        <v>43.69804001</v>
      </c>
      <c r="K782">
        <v>15.87749767</v>
      </c>
      <c r="L782">
        <v>15.87749767</v>
      </c>
      <c r="M782">
        <v>2.76490283</v>
      </c>
      <c r="N782">
        <v>1</v>
      </c>
      <c r="O782">
        <v>2.76490283</v>
      </c>
    </row>
    <row r="783" spans="1:15">
      <c r="A783">
        <v>-0.73154525699999995</v>
      </c>
      <c r="B783">
        <v>-0.58642031299999997</v>
      </c>
      <c r="C783">
        <v>-0.36577262900000002</v>
      </c>
      <c r="D783">
        <v>-0.93132177100000002</v>
      </c>
      <c r="E783">
        <v>0</v>
      </c>
      <c r="F783">
        <v>22</v>
      </c>
      <c r="G783">
        <v>10</v>
      </c>
      <c r="H783">
        <v>0</v>
      </c>
      <c r="I783">
        <v>0</v>
      </c>
      <c r="J783">
        <v>5.1241388319999999</v>
      </c>
      <c r="K783">
        <v>11.010728840000001</v>
      </c>
      <c r="N783">
        <v>0</v>
      </c>
      <c r="O783">
        <v>0</v>
      </c>
    </row>
    <row r="784" spans="1:15">
      <c r="A784">
        <v>-0.85680492200000002</v>
      </c>
      <c r="B784">
        <v>-0.34016803899999998</v>
      </c>
      <c r="C784">
        <v>-0.42840246100000001</v>
      </c>
      <c r="D784">
        <v>-0.84445677200000002</v>
      </c>
      <c r="E784">
        <v>1</v>
      </c>
      <c r="F784">
        <v>43</v>
      </c>
      <c r="G784">
        <v>12</v>
      </c>
      <c r="H784">
        <v>0</v>
      </c>
      <c r="I784">
        <v>1</v>
      </c>
      <c r="J784">
        <v>21.066518779999999</v>
      </c>
      <c r="K784">
        <v>16.459171300000001</v>
      </c>
      <c r="N784">
        <v>0</v>
      </c>
      <c r="O784">
        <v>0</v>
      </c>
    </row>
    <row r="785" spans="1:15">
      <c r="A785">
        <v>-1.3154716559999999</v>
      </c>
      <c r="B785">
        <v>-0.390408433</v>
      </c>
      <c r="C785">
        <v>-0.65773582799999997</v>
      </c>
      <c r="D785">
        <v>-1.202816809</v>
      </c>
      <c r="E785">
        <v>2</v>
      </c>
      <c r="F785">
        <v>28</v>
      </c>
      <c r="G785">
        <v>10</v>
      </c>
      <c r="H785">
        <v>0</v>
      </c>
      <c r="I785">
        <v>4</v>
      </c>
      <c r="J785">
        <v>24.266199109999999</v>
      </c>
      <c r="K785">
        <v>8.7071704860000008</v>
      </c>
      <c r="N785">
        <v>0</v>
      </c>
      <c r="O785">
        <v>0</v>
      </c>
    </row>
    <row r="786" spans="1:15">
      <c r="A786">
        <v>-0.27641147700000002</v>
      </c>
      <c r="B786">
        <v>-1.042946677</v>
      </c>
      <c r="C786">
        <v>-0.13820573899999999</v>
      </c>
      <c r="D786">
        <v>-0.935545403</v>
      </c>
      <c r="E786">
        <v>3</v>
      </c>
      <c r="F786">
        <v>28</v>
      </c>
      <c r="G786">
        <v>16</v>
      </c>
      <c r="H786">
        <v>0</v>
      </c>
      <c r="I786">
        <v>3</v>
      </c>
      <c r="J786">
        <v>26.973455430000001</v>
      </c>
      <c r="K786">
        <v>20.941530230000001</v>
      </c>
      <c r="N786">
        <v>0</v>
      </c>
      <c r="O786">
        <v>0</v>
      </c>
    </row>
    <row r="787" spans="1:15">
      <c r="A787">
        <v>1.4014185509999999</v>
      </c>
      <c r="B787">
        <v>-0.38193055399999998</v>
      </c>
      <c r="C787">
        <v>0.70070927500000002</v>
      </c>
      <c r="D787">
        <v>0.71446958900000002</v>
      </c>
      <c r="E787">
        <v>4</v>
      </c>
      <c r="F787">
        <v>28</v>
      </c>
      <c r="G787">
        <v>12</v>
      </c>
      <c r="H787">
        <v>0</v>
      </c>
      <c r="I787">
        <v>3</v>
      </c>
      <c r="J787">
        <v>43.773635859999999</v>
      </c>
      <c r="K787">
        <v>27.00851059</v>
      </c>
      <c r="L787">
        <v>27.00851059</v>
      </c>
      <c r="M787">
        <v>3.2961521149999999</v>
      </c>
      <c r="N787">
        <v>1</v>
      </c>
      <c r="O787">
        <v>3.2961521149999999</v>
      </c>
    </row>
    <row r="788" spans="1:15">
      <c r="A788">
        <v>2.1100444309999999</v>
      </c>
      <c r="B788">
        <v>1.2236151099999999</v>
      </c>
      <c r="C788">
        <v>1.055022216</v>
      </c>
      <c r="D788">
        <v>2.3538382699999998</v>
      </c>
      <c r="E788">
        <v>5</v>
      </c>
      <c r="F788">
        <v>39</v>
      </c>
      <c r="G788">
        <v>16</v>
      </c>
      <c r="H788">
        <v>1</v>
      </c>
      <c r="I788">
        <v>3</v>
      </c>
      <c r="J788">
        <v>75.846061710000001</v>
      </c>
      <c r="K788">
        <v>37.460266109999999</v>
      </c>
      <c r="L788">
        <v>37.460266109999999</v>
      </c>
      <c r="M788">
        <v>3.623280764</v>
      </c>
      <c r="N788">
        <v>1</v>
      </c>
      <c r="O788">
        <v>3.623280764</v>
      </c>
    </row>
    <row r="789" spans="1:15">
      <c r="A789">
        <v>-0.52358694500000003</v>
      </c>
      <c r="B789">
        <v>-0.65308421100000003</v>
      </c>
      <c r="C789">
        <v>-0.261793473</v>
      </c>
      <c r="D789">
        <v>-0.83239849499999996</v>
      </c>
      <c r="E789">
        <v>6</v>
      </c>
      <c r="F789">
        <v>33</v>
      </c>
      <c r="G789">
        <v>12</v>
      </c>
      <c r="H789">
        <v>1</v>
      </c>
      <c r="I789">
        <v>0</v>
      </c>
      <c r="J789">
        <v>17.21121788</v>
      </c>
      <c r="K789">
        <v>16.458478929999998</v>
      </c>
      <c r="N789">
        <v>0</v>
      </c>
      <c r="O789">
        <v>0</v>
      </c>
    </row>
    <row r="790" spans="1:15">
      <c r="A790">
        <v>0.329113979</v>
      </c>
      <c r="B790">
        <v>0.125050313</v>
      </c>
      <c r="C790">
        <v>0.16455698899999999</v>
      </c>
      <c r="D790">
        <v>0.32038144800000001</v>
      </c>
      <c r="E790">
        <v>7</v>
      </c>
      <c r="F790">
        <v>36</v>
      </c>
      <c r="G790">
        <v>16</v>
      </c>
      <c r="H790">
        <v>1</v>
      </c>
      <c r="I790">
        <v>3</v>
      </c>
      <c r="J790">
        <v>50.244575500000003</v>
      </c>
      <c r="K790">
        <v>26.17468452</v>
      </c>
      <c r="L790">
        <v>26.17468452</v>
      </c>
      <c r="M790">
        <v>3.2647926809999999</v>
      </c>
      <c r="N790">
        <v>1</v>
      </c>
      <c r="O790">
        <v>3.2647926809999999</v>
      </c>
    </row>
    <row r="791" spans="1:15">
      <c r="A791">
        <v>1.013642342</v>
      </c>
      <c r="B791">
        <v>0.680815053</v>
      </c>
      <c r="C791">
        <v>0.50682117100000001</v>
      </c>
      <c r="D791">
        <v>1.19684481</v>
      </c>
      <c r="E791">
        <v>8</v>
      </c>
      <c r="F791">
        <v>45</v>
      </c>
      <c r="G791">
        <v>16</v>
      </c>
      <c r="H791">
        <v>1</v>
      </c>
      <c r="I791">
        <v>3</v>
      </c>
      <c r="J791">
        <v>64.362136840000005</v>
      </c>
      <c r="K791">
        <v>32.081855769999997</v>
      </c>
      <c r="L791">
        <v>32.081855769999997</v>
      </c>
      <c r="M791">
        <v>3.4682905669999999</v>
      </c>
      <c r="N791">
        <v>1</v>
      </c>
      <c r="O791">
        <v>3.4682905669999999</v>
      </c>
    </row>
    <row r="792" spans="1:15">
      <c r="A792">
        <v>-0.136150462</v>
      </c>
      <c r="B792">
        <v>-1.66525546</v>
      </c>
      <c r="C792">
        <v>-6.8075231E-2</v>
      </c>
      <c r="D792">
        <v>-1.279075577</v>
      </c>
      <c r="E792">
        <v>9</v>
      </c>
      <c r="F792">
        <v>56</v>
      </c>
      <c r="G792">
        <v>16</v>
      </c>
      <c r="H792">
        <v>1</v>
      </c>
      <c r="I792">
        <v>3</v>
      </c>
      <c r="J792">
        <v>39.051094059999997</v>
      </c>
      <c r="K792">
        <v>27.383096689999999</v>
      </c>
      <c r="L792">
        <v>27.383096689999999</v>
      </c>
      <c r="M792">
        <v>3.309926033</v>
      </c>
      <c r="N792">
        <v>1</v>
      </c>
      <c r="O792">
        <v>3.309926033</v>
      </c>
    </row>
    <row r="793" spans="1:15">
      <c r="A793">
        <v>0.44092671</v>
      </c>
      <c r="B793">
        <v>-0.64540087800000001</v>
      </c>
      <c r="C793">
        <v>0.220463355</v>
      </c>
      <c r="D793">
        <v>-0.14842839299999999</v>
      </c>
      <c r="E793">
        <v>0</v>
      </c>
      <c r="F793">
        <v>35</v>
      </c>
      <c r="G793">
        <v>12</v>
      </c>
      <c r="H793">
        <v>0</v>
      </c>
      <c r="I793">
        <v>0</v>
      </c>
      <c r="J793">
        <v>21.21885872</v>
      </c>
      <c r="K793">
        <v>22.645559309999999</v>
      </c>
      <c r="N793">
        <v>0</v>
      </c>
      <c r="O793">
        <v>0</v>
      </c>
    </row>
    <row r="794" spans="1:15">
      <c r="A794">
        <v>2.0906441779999998</v>
      </c>
      <c r="B794">
        <v>-1.7245100790000001</v>
      </c>
      <c r="C794">
        <v>1.0453220889999999</v>
      </c>
      <c r="D794">
        <v>0.24531187099999999</v>
      </c>
      <c r="E794">
        <v>1</v>
      </c>
      <c r="F794">
        <v>28</v>
      </c>
      <c r="G794">
        <v>10</v>
      </c>
      <c r="H794">
        <v>0</v>
      </c>
      <c r="I794">
        <v>1</v>
      </c>
      <c r="J794">
        <v>26.643741609999999</v>
      </c>
      <c r="K794">
        <v>29.143865590000001</v>
      </c>
      <c r="N794">
        <v>0</v>
      </c>
      <c r="O794">
        <v>0</v>
      </c>
    </row>
    <row r="795" spans="1:15">
      <c r="A795">
        <v>-0.35425596399999998</v>
      </c>
      <c r="B795">
        <v>-0.41457048000000002</v>
      </c>
      <c r="C795">
        <v>-0.17712798199999999</v>
      </c>
      <c r="D795">
        <v>-0.54379542800000003</v>
      </c>
      <c r="E795">
        <v>2</v>
      </c>
      <c r="F795">
        <v>24</v>
      </c>
      <c r="G795">
        <v>16</v>
      </c>
      <c r="H795">
        <v>0</v>
      </c>
      <c r="I795">
        <v>3</v>
      </c>
      <c r="J795">
        <v>30.074455260000001</v>
      </c>
      <c r="K795">
        <v>19.67446327</v>
      </c>
      <c r="L795">
        <v>19.67446327</v>
      </c>
      <c r="M795">
        <v>2.9793214799999999</v>
      </c>
      <c r="N795">
        <v>1</v>
      </c>
      <c r="O795">
        <v>2.9793214799999999</v>
      </c>
    </row>
    <row r="796" spans="1:15">
      <c r="A796">
        <v>3.1577361540000002</v>
      </c>
      <c r="B796">
        <v>0.12830444099999999</v>
      </c>
      <c r="C796">
        <v>1.5788680770000001</v>
      </c>
      <c r="D796">
        <v>2.3125565099999998</v>
      </c>
      <c r="E796">
        <v>3</v>
      </c>
      <c r="F796">
        <v>42</v>
      </c>
      <c r="G796">
        <v>12</v>
      </c>
      <c r="H796">
        <v>1</v>
      </c>
      <c r="I796">
        <v>0</v>
      </c>
      <c r="J796">
        <v>58.550678249999997</v>
      </c>
      <c r="K796">
        <v>40.346416470000001</v>
      </c>
      <c r="L796">
        <v>40.346416470000001</v>
      </c>
      <c r="M796">
        <v>3.6975026130000002</v>
      </c>
      <c r="N796">
        <v>1</v>
      </c>
      <c r="O796">
        <v>3.6975026130000002</v>
      </c>
    </row>
    <row r="797" spans="1:15">
      <c r="A797">
        <v>-0.226613699</v>
      </c>
      <c r="B797">
        <v>2.0134033090000001</v>
      </c>
      <c r="C797">
        <v>-0.11330685</v>
      </c>
      <c r="D797">
        <v>1.2712672469999999</v>
      </c>
      <c r="E797">
        <v>4</v>
      </c>
      <c r="F797">
        <v>53</v>
      </c>
      <c r="G797">
        <v>12</v>
      </c>
      <c r="H797">
        <v>1</v>
      </c>
      <c r="I797">
        <v>0</v>
      </c>
      <c r="J797">
        <v>50.455207819999998</v>
      </c>
      <c r="K797">
        <v>22.240318299999998</v>
      </c>
      <c r="L797">
        <v>22.240318299999998</v>
      </c>
      <c r="M797">
        <v>3.1019067759999999</v>
      </c>
      <c r="N797">
        <v>1</v>
      </c>
      <c r="O797">
        <v>3.1019067759999999</v>
      </c>
    </row>
    <row r="798" spans="1:15">
      <c r="A798">
        <v>0.150764231</v>
      </c>
      <c r="B798">
        <v>-1.0515953389999999</v>
      </c>
      <c r="C798">
        <v>7.5382115E-2</v>
      </c>
      <c r="D798">
        <v>-0.64118387700000001</v>
      </c>
      <c r="E798">
        <v>5</v>
      </c>
      <c r="F798">
        <v>46</v>
      </c>
      <c r="G798">
        <v>10</v>
      </c>
      <c r="H798">
        <v>1</v>
      </c>
      <c r="I798">
        <v>0</v>
      </c>
      <c r="J798">
        <v>23.205793379999999</v>
      </c>
      <c r="K798">
        <v>21.104585650000001</v>
      </c>
      <c r="N798">
        <v>0</v>
      </c>
      <c r="O798">
        <v>0</v>
      </c>
    </row>
    <row r="799" spans="1:15">
      <c r="A799">
        <v>0.835833355</v>
      </c>
      <c r="B799">
        <v>1.650886029</v>
      </c>
      <c r="C799">
        <v>0.41791667799999999</v>
      </c>
      <c r="D799">
        <v>1.761073815</v>
      </c>
      <c r="E799">
        <v>6</v>
      </c>
      <c r="F799">
        <v>55</v>
      </c>
      <c r="G799">
        <v>10</v>
      </c>
      <c r="H799">
        <v>1</v>
      </c>
      <c r="I799">
        <v>1</v>
      </c>
      <c r="J799">
        <v>60.63288498</v>
      </c>
      <c r="K799">
        <v>27.01499939</v>
      </c>
      <c r="L799">
        <v>27.01499939</v>
      </c>
      <c r="M799">
        <v>3.2963922019999998</v>
      </c>
      <c r="N799">
        <v>1</v>
      </c>
      <c r="O799">
        <v>3.2963922019999998</v>
      </c>
    </row>
    <row r="800" spans="1:15">
      <c r="A800">
        <v>-0.23448263499999999</v>
      </c>
      <c r="B800">
        <v>2.785863E-3</v>
      </c>
      <c r="C800">
        <v>-0.117241318</v>
      </c>
      <c r="D800">
        <v>-0.162972907</v>
      </c>
      <c r="E800">
        <v>7</v>
      </c>
      <c r="F800">
        <v>47</v>
      </c>
      <c r="G800">
        <v>16</v>
      </c>
      <c r="H800">
        <v>1</v>
      </c>
      <c r="I800">
        <v>0</v>
      </c>
      <c r="J800">
        <v>33.844326019999997</v>
      </c>
      <c r="K800">
        <v>24.993104930000001</v>
      </c>
      <c r="L800">
        <v>24.993104930000001</v>
      </c>
      <c r="M800">
        <v>3.2186000350000001</v>
      </c>
      <c r="N800">
        <v>1</v>
      </c>
      <c r="O800">
        <v>3.2186000350000001</v>
      </c>
    </row>
    <row r="801" spans="1:15">
      <c r="A801">
        <v>0.80157836699999996</v>
      </c>
      <c r="B801">
        <v>0.62772991300000003</v>
      </c>
      <c r="C801">
        <v>0.40078918400000002</v>
      </c>
      <c r="D801">
        <v>1.009942033</v>
      </c>
      <c r="E801">
        <v>8</v>
      </c>
      <c r="F801">
        <v>47</v>
      </c>
      <c r="G801">
        <v>16</v>
      </c>
      <c r="H801">
        <v>1</v>
      </c>
      <c r="I801">
        <v>2</v>
      </c>
      <c r="J801">
        <v>57.919303890000002</v>
      </c>
      <c r="K801">
        <v>31.209470750000001</v>
      </c>
      <c r="L801">
        <v>31.209470750000001</v>
      </c>
      <c r="M801">
        <v>3.4407215120000001</v>
      </c>
      <c r="N801">
        <v>1</v>
      </c>
      <c r="O801">
        <v>3.4407215120000001</v>
      </c>
    </row>
    <row r="802" spans="1:15">
      <c r="A802">
        <v>0.90689103500000001</v>
      </c>
      <c r="B802">
        <v>2.417072353</v>
      </c>
      <c r="C802">
        <v>0.45344551700000002</v>
      </c>
      <c r="D802">
        <v>2.355497744</v>
      </c>
      <c r="E802">
        <v>9</v>
      </c>
      <c r="F802">
        <v>51</v>
      </c>
      <c r="G802">
        <v>12</v>
      </c>
      <c r="H802">
        <v>1</v>
      </c>
      <c r="I802">
        <v>2</v>
      </c>
      <c r="J802">
        <v>72.665969849999996</v>
      </c>
      <c r="K802">
        <v>28.641345980000001</v>
      </c>
      <c r="L802">
        <v>28.641345980000001</v>
      </c>
      <c r="M802">
        <v>3.354851246</v>
      </c>
      <c r="N802">
        <v>1</v>
      </c>
      <c r="O802">
        <v>3.354851246</v>
      </c>
    </row>
    <row r="803" spans="1:15">
      <c r="A803">
        <v>0.77013165500000003</v>
      </c>
      <c r="B803">
        <v>-0.74784640800000002</v>
      </c>
      <c r="C803">
        <v>0.385065828</v>
      </c>
      <c r="D803">
        <v>1.0363048999999999E-2</v>
      </c>
      <c r="E803">
        <v>0</v>
      </c>
      <c r="F803">
        <v>27</v>
      </c>
      <c r="G803">
        <v>10</v>
      </c>
      <c r="H803">
        <v>0</v>
      </c>
      <c r="I803">
        <v>3</v>
      </c>
      <c r="J803">
        <v>33.42435837</v>
      </c>
      <c r="K803">
        <v>21.020790099999999</v>
      </c>
      <c r="L803">
        <v>21.020790099999999</v>
      </c>
      <c r="M803">
        <v>3.0455119609999999</v>
      </c>
      <c r="N803">
        <v>1</v>
      </c>
      <c r="O803">
        <v>3.0455119609999999</v>
      </c>
    </row>
    <row r="804" spans="1:15">
      <c r="A804">
        <v>6.6213027999999993E-2</v>
      </c>
      <c r="B804">
        <v>-1.1282186160000001</v>
      </c>
      <c r="C804">
        <v>3.3106513999999997E-2</v>
      </c>
      <c r="D804">
        <v>-0.75511043600000005</v>
      </c>
      <c r="E804">
        <v>1</v>
      </c>
      <c r="F804">
        <v>41</v>
      </c>
      <c r="G804">
        <v>10</v>
      </c>
      <c r="H804">
        <v>0</v>
      </c>
      <c r="I804">
        <v>1</v>
      </c>
      <c r="J804">
        <v>19.83867455</v>
      </c>
      <c r="K804">
        <v>19.597278589999998</v>
      </c>
      <c r="N804">
        <v>0</v>
      </c>
      <c r="O804">
        <v>0</v>
      </c>
    </row>
    <row r="805" spans="1:15">
      <c r="A805">
        <v>-1.4909218230000001</v>
      </c>
      <c r="B805">
        <v>0.13612945800000001</v>
      </c>
      <c r="C805">
        <v>-0.745460911</v>
      </c>
      <c r="D805">
        <v>-0.95209417699999999</v>
      </c>
      <c r="E805">
        <v>2</v>
      </c>
      <c r="F805">
        <v>30</v>
      </c>
      <c r="G805">
        <v>16</v>
      </c>
      <c r="H805">
        <v>1</v>
      </c>
      <c r="I805">
        <v>1</v>
      </c>
      <c r="J805">
        <v>22.574869159999999</v>
      </c>
      <c r="K805">
        <v>14.054469109999999</v>
      </c>
      <c r="N805">
        <v>0</v>
      </c>
      <c r="O805">
        <v>0</v>
      </c>
    </row>
    <row r="806" spans="1:15">
      <c r="A806">
        <v>0.30728419800000001</v>
      </c>
      <c r="B806">
        <v>-0.258975815</v>
      </c>
      <c r="C806">
        <v>0.153642099</v>
      </c>
      <c r="D806">
        <v>3.2143471E-2</v>
      </c>
      <c r="E806">
        <v>3</v>
      </c>
      <c r="F806">
        <v>26</v>
      </c>
      <c r="G806">
        <v>10</v>
      </c>
      <c r="H806">
        <v>1</v>
      </c>
      <c r="I806">
        <v>1</v>
      </c>
      <c r="J806">
        <v>28.285720829999999</v>
      </c>
      <c r="K806">
        <v>18.043704989999998</v>
      </c>
      <c r="N806">
        <v>0</v>
      </c>
      <c r="O806">
        <v>0</v>
      </c>
    </row>
    <row r="807" spans="1:15">
      <c r="A807">
        <v>-0.79269620600000001</v>
      </c>
      <c r="B807">
        <v>0.40031798499999999</v>
      </c>
      <c r="C807">
        <v>-0.39634810300000001</v>
      </c>
      <c r="D807">
        <v>-0.27318337799999998</v>
      </c>
      <c r="E807">
        <v>4</v>
      </c>
      <c r="F807">
        <v>43</v>
      </c>
      <c r="G807">
        <v>12</v>
      </c>
      <c r="H807">
        <v>1</v>
      </c>
      <c r="I807">
        <v>1</v>
      </c>
      <c r="J807">
        <v>32.921798709999997</v>
      </c>
      <c r="K807">
        <v>16.84382248</v>
      </c>
      <c r="L807">
        <v>16.84382248</v>
      </c>
      <c r="M807">
        <v>2.8239839080000002</v>
      </c>
      <c r="N807">
        <v>1</v>
      </c>
      <c r="O807">
        <v>2.8239839080000002</v>
      </c>
    </row>
    <row r="808" spans="1:15">
      <c r="A808">
        <v>1.004199939</v>
      </c>
      <c r="B808">
        <v>-0.60416583099999999</v>
      </c>
      <c r="C808">
        <v>0.50209996899999998</v>
      </c>
      <c r="D808">
        <v>0.27712059500000003</v>
      </c>
      <c r="E808">
        <v>5</v>
      </c>
      <c r="F808">
        <v>31</v>
      </c>
      <c r="G808">
        <v>16</v>
      </c>
      <c r="H808">
        <v>0</v>
      </c>
      <c r="I808">
        <v>1</v>
      </c>
      <c r="J808">
        <v>32.725448610000001</v>
      </c>
      <c r="K808">
        <v>29.225198750000001</v>
      </c>
      <c r="L808">
        <v>29.225198750000001</v>
      </c>
      <c r="M808">
        <v>3.3750312330000001</v>
      </c>
      <c r="N808">
        <v>1</v>
      </c>
      <c r="O808">
        <v>3.3750312330000001</v>
      </c>
    </row>
    <row r="809" spans="1:15">
      <c r="A809">
        <v>0.136844522</v>
      </c>
      <c r="B809">
        <v>0.35675464099999998</v>
      </c>
      <c r="C809">
        <v>6.8422260999999998E-2</v>
      </c>
      <c r="D809">
        <v>0.349769308</v>
      </c>
      <c r="E809">
        <v>6</v>
      </c>
      <c r="F809">
        <v>39</v>
      </c>
      <c r="G809">
        <v>12</v>
      </c>
      <c r="H809">
        <v>0</v>
      </c>
      <c r="I809">
        <v>1</v>
      </c>
      <c r="J809">
        <v>33.797233579999997</v>
      </c>
      <c r="K809">
        <v>21.621067050000001</v>
      </c>
      <c r="L809">
        <v>21.621067050000001</v>
      </c>
      <c r="M809">
        <v>3.0736682420000001</v>
      </c>
      <c r="N809">
        <v>1</v>
      </c>
      <c r="O809">
        <v>3.0736682420000001</v>
      </c>
    </row>
    <row r="810" spans="1:15">
      <c r="A810">
        <v>-1.1618022960000001</v>
      </c>
      <c r="B810">
        <v>0.70657340700000004</v>
      </c>
      <c r="C810">
        <v>-0.58090114800000003</v>
      </c>
      <c r="D810">
        <v>-0.31522101200000002</v>
      </c>
      <c r="E810">
        <v>7</v>
      </c>
      <c r="F810">
        <v>34</v>
      </c>
      <c r="G810">
        <v>16</v>
      </c>
      <c r="H810">
        <v>1</v>
      </c>
      <c r="I810">
        <v>3</v>
      </c>
      <c r="J810">
        <v>41.81734848</v>
      </c>
      <c r="K810">
        <v>16.82918549</v>
      </c>
      <c r="L810">
        <v>16.82918549</v>
      </c>
      <c r="M810">
        <v>2.823114634</v>
      </c>
      <c r="N810">
        <v>1</v>
      </c>
      <c r="O810">
        <v>2.823114634</v>
      </c>
    </row>
    <row r="811" spans="1:15">
      <c r="A811">
        <v>-0.27444980099999999</v>
      </c>
      <c r="B811">
        <v>0.96871107099999998</v>
      </c>
      <c r="C811">
        <v>-0.13722490000000001</v>
      </c>
      <c r="D811">
        <v>0.495278365</v>
      </c>
      <c r="E811">
        <v>8</v>
      </c>
      <c r="F811">
        <v>36</v>
      </c>
      <c r="G811">
        <v>16</v>
      </c>
      <c r="H811">
        <v>1</v>
      </c>
      <c r="I811">
        <v>4</v>
      </c>
      <c r="J811">
        <v>57.34334183</v>
      </c>
      <c r="K811">
        <v>22.55330086</v>
      </c>
      <c r="L811">
        <v>22.55330086</v>
      </c>
      <c r="M811">
        <v>3.1158814430000001</v>
      </c>
      <c r="N811">
        <v>1</v>
      </c>
      <c r="O811">
        <v>3.1158814430000001</v>
      </c>
    </row>
    <row r="812" spans="1:15">
      <c r="A812">
        <v>1.4635098150000001</v>
      </c>
      <c r="B812">
        <v>-1.1351906899999999</v>
      </c>
      <c r="C812">
        <v>0.73175490700000001</v>
      </c>
      <c r="D812">
        <v>0.222897598</v>
      </c>
      <c r="E812">
        <v>9</v>
      </c>
      <c r="F812">
        <v>38</v>
      </c>
      <c r="G812">
        <v>12</v>
      </c>
      <c r="H812">
        <v>1</v>
      </c>
      <c r="I812">
        <v>1</v>
      </c>
      <c r="J812">
        <v>36.874771119999998</v>
      </c>
      <c r="K812">
        <v>29.381059650000001</v>
      </c>
      <c r="L812">
        <v>29.381059650000001</v>
      </c>
      <c r="M812">
        <v>3.3803503510000001</v>
      </c>
      <c r="N812">
        <v>1</v>
      </c>
      <c r="O812">
        <v>3.3803503510000001</v>
      </c>
    </row>
    <row r="813" spans="1:15">
      <c r="A813">
        <v>0.57434123800000003</v>
      </c>
      <c r="B813">
        <v>-4.8484542999999998E-2</v>
      </c>
      <c r="C813">
        <v>0.28717061900000002</v>
      </c>
      <c r="D813">
        <v>0.369582101</v>
      </c>
      <c r="E813">
        <v>0</v>
      </c>
      <c r="F813">
        <v>34</v>
      </c>
      <c r="G813">
        <v>10</v>
      </c>
      <c r="H813">
        <v>0</v>
      </c>
      <c r="I813">
        <v>1</v>
      </c>
      <c r="J813">
        <v>30.534984590000001</v>
      </c>
      <c r="K813">
        <v>21.246047969999999</v>
      </c>
      <c r="L813">
        <v>21.246047969999999</v>
      </c>
      <c r="M813">
        <v>3.0561709399999999</v>
      </c>
      <c r="N813">
        <v>1</v>
      </c>
      <c r="O813">
        <v>3.0561709399999999</v>
      </c>
    </row>
    <row r="814" spans="1:15">
      <c r="A814">
        <v>2.362066467</v>
      </c>
      <c r="B814">
        <v>-1.466051276</v>
      </c>
      <c r="C814">
        <v>1.181033234</v>
      </c>
      <c r="D814">
        <v>0.61990610999999995</v>
      </c>
      <c r="E814">
        <v>1</v>
      </c>
      <c r="F814">
        <v>22</v>
      </c>
      <c r="G814">
        <v>10</v>
      </c>
      <c r="H814">
        <v>1</v>
      </c>
      <c r="I814">
        <v>1</v>
      </c>
      <c r="J814">
        <v>33.738872530000002</v>
      </c>
      <c r="K814">
        <v>29.572399140000002</v>
      </c>
      <c r="L814">
        <v>29.572399140000002</v>
      </c>
      <c r="M814">
        <v>3.3868415359999999</v>
      </c>
      <c r="N814">
        <v>1</v>
      </c>
      <c r="O814">
        <v>3.3868415359999999</v>
      </c>
    </row>
    <row r="815" spans="1:15">
      <c r="A815">
        <v>1.084439368</v>
      </c>
      <c r="B815">
        <v>0.19100995600000001</v>
      </c>
      <c r="C815">
        <v>0.54221968399999998</v>
      </c>
      <c r="D815">
        <v>0.89860298100000002</v>
      </c>
      <c r="E815">
        <v>2</v>
      </c>
      <c r="F815">
        <v>24</v>
      </c>
      <c r="G815">
        <v>10</v>
      </c>
      <c r="H815">
        <v>0</v>
      </c>
      <c r="I815">
        <v>3</v>
      </c>
      <c r="J815">
        <v>42.883235929999998</v>
      </c>
      <c r="K815">
        <v>22.306636810000001</v>
      </c>
      <c r="L815">
        <v>22.306636810000001</v>
      </c>
      <c r="M815">
        <v>3.104884148</v>
      </c>
      <c r="N815">
        <v>1</v>
      </c>
      <c r="O815">
        <v>3.104884148</v>
      </c>
    </row>
    <row r="816" spans="1:15">
      <c r="A816">
        <v>-4.6497998999999998E-2</v>
      </c>
      <c r="B816">
        <v>1.32950094</v>
      </c>
      <c r="C816">
        <v>-2.3248999999999999E-2</v>
      </c>
      <c r="D816">
        <v>0.91200664499999995</v>
      </c>
      <c r="E816">
        <v>3</v>
      </c>
      <c r="F816">
        <v>44</v>
      </c>
      <c r="G816">
        <v>10</v>
      </c>
      <c r="H816">
        <v>0</v>
      </c>
      <c r="I816">
        <v>3</v>
      </c>
      <c r="J816">
        <v>51.044078829999997</v>
      </c>
      <c r="K816">
        <v>19.521011349999998</v>
      </c>
      <c r="L816">
        <v>19.521011349999998</v>
      </c>
      <c r="M816">
        <v>2.9714913369999998</v>
      </c>
      <c r="N816">
        <v>1</v>
      </c>
      <c r="O816">
        <v>2.9714913369999998</v>
      </c>
    </row>
    <row r="817" spans="1:15">
      <c r="A817">
        <v>-0.64582157299999998</v>
      </c>
      <c r="B817">
        <v>-1.197912055</v>
      </c>
      <c r="C817">
        <v>-0.32291078699999998</v>
      </c>
      <c r="D817">
        <v>-1.3055311780000001</v>
      </c>
      <c r="E817">
        <v>4</v>
      </c>
      <c r="F817">
        <v>47</v>
      </c>
      <c r="G817">
        <v>10</v>
      </c>
      <c r="H817">
        <v>0</v>
      </c>
      <c r="I817">
        <v>1</v>
      </c>
      <c r="J817">
        <v>15.63362598</v>
      </c>
      <c r="K817">
        <v>16.525070190000001</v>
      </c>
      <c r="N817">
        <v>0</v>
      </c>
      <c r="O817">
        <v>0</v>
      </c>
    </row>
    <row r="818" spans="1:15">
      <c r="A818">
        <v>1.1239005710000001</v>
      </c>
      <c r="B818">
        <v>0.242985016</v>
      </c>
      <c r="C818">
        <v>0.56195028499999999</v>
      </c>
      <c r="D818">
        <v>0.96329535799999999</v>
      </c>
      <c r="E818">
        <v>5</v>
      </c>
      <c r="F818">
        <v>47</v>
      </c>
      <c r="G818">
        <v>16</v>
      </c>
      <c r="H818">
        <v>1</v>
      </c>
      <c r="I818">
        <v>1</v>
      </c>
      <c r="J818">
        <v>52.359542849999997</v>
      </c>
      <c r="K818">
        <v>33.143402100000003</v>
      </c>
      <c r="L818">
        <v>33.143402100000003</v>
      </c>
      <c r="M818">
        <v>3.5008437630000002</v>
      </c>
      <c r="N818">
        <v>1</v>
      </c>
      <c r="O818">
        <v>3.5008437630000002</v>
      </c>
    </row>
    <row r="819" spans="1:15">
      <c r="A819">
        <v>-0.79766338299999995</v>
      </c>
      <c r="B819">
        <v>0.158250051</v>
      </c>
      <c r="C819">
        <v>-0.39883169200000002</v>
      </c>
      <c r="D819">
        <v>-0.44868629399999999</v>
      </c>
      <c r="E819">
        <v>6</v>
      </c>
      <c r="F819">
        <v>36</v>
      </c>
      <c r="G819">
        <v>16</v>
      </c>
      <c r="H819">
        <v>1</v>
      </c>
      <c r="I819">
        <v>0</v>
      </c>
      <c r="J819">
        <v>26.015764239999999</v>
      </c>
      <c r="K819">
        <v>19.414020539999999</v>
      </c>
      <c r="N819">
        <v>0</v>
      </c>
      <c r="O819">
        <v>0</v>
      </c>
    </row>
    <row r="820" spans="1:15">
      <c r="A820">
        <v>0.18916388200000001</v>
      </c>
      <c r="B820">
        <v>1.7890674660000001</v>
      </c>
      <c r="C820">
        <v>9.4581941000000003E-2</v>
      </c>
      <c r="D820">
        <v>1.404347486</v>
      </c>
      <c r="E820">
        <v>7</v>
      </c>
      <c r="F820">
        <v>40</v>
      </c>
      <c r="G820">
        <v>16</v>
      </c>
      <c r="H820">
        <v>1</v>
      </c>
      <c r="I820">
        <v>1</v>
      </c>
      <c r="J820">
        <v>54.85216904</v>
      </c>
      <c r="K820">
        <v>26.13498306</v>
      </c>
      <c r="L820">
        <v>26.13498306</v>
      </c>
      <c r="M820">
        <v>3.2632746699999999</v>
      </c>
      <c r="N820">
        <v>1</v>
      </c>
      <c r="O820">
        <v>3.2632746699999999</v>
      </c>
    </row>
    <row r="821" spans="1:15">
      <c r="A821">
        <v>-0.44551072000000003</v>
      </c>
      <c r="B821">
        <v>-0.142139239</v>
      </c>
      <c r="C821">
        <v>-0.22275536000000001</v>
      </c>
      <c r="D821">
        <v>-0.41440660200000001</v>
      </c>
      <c r="E821">
        <v>8</v>
      </c>
      <c r="F821">
        <v>37</v>
      </c>
      <c r="G821">
        <v>12</v>
      </c>
      <c r="H821">
        <v>1</v>
      </c>
      <c r="I821">
        <v>0</v>
      </c>
      <c r="J821">
        <v>23.827119830000001</v>
      </c>
      <c r="K821">
        <v>17.726936340000002</v>
      </c>
      <c r="N821">
        <v>0</v>
      </c>
      <c r="O821">
        <v>0</v>
      </c>
    </row>
    <row r="822" spans="1:15">
      <c r="A822">
        <v>8.4926957999999997E-2</v>
      </c>
      <c r="B822">
        <v>1.123350004</v>
      </c>
      <c r="C822">
        <v>4.2463478999999998E-2</v>
      </c>
      <c r="D822">
        <v>0.85797398000000002</v>
      </c>
      <c r="E822">
        <v>9</v>
      </c>
      <c r="F822">
        <v>50</v>
      </c>
      <c r="G822">
        <v>16</v>
      </c>
      <c r="H822">
        <v>1</v>
      </c>
      <c r="I822">
        <v>1</v>
      </c>
      <c r="J822">
        <v>52.295688630000001</v>
      </c>
      <c r="K822">
        <v>27.50956154</v>
      </c>
      <c r="L822">
        <v>27.50956154</v>
      </c>
      <c r="M822">
        <v>3.3145337100000001</v>
      </c>
      <c r="N822">
        <v>1</v>
      </c>
      <c r="O822">
        <v>3.3145337100000001</v>
      </c>
    </row>
    <row r="823" spans="1:15">
      <c r="A823">
        <v>0.52232144199999997</v>
      </c>
      <c r="B823">
        <v>0.66504526399999997</v>
      </c>
      <c r="C823">
        <v>0.26116072099999998</v>
      </c>
      <c r="D823">
        <v>0.840007532</v>
      </c>
      <c r="E823">
        <v>0</v>
      </c>
      <c r="F823">
        <v>28</v>
      </c>
      <c r="G823">
        <v>10</v>
      </c>
      <c r="H823">
        <v>1</v>
      </c>
      <c r="I823">
        <v>2</v>
      </c>
      <c r="J823">
        <v>43.78009033</v>
      </c>
      <c r="K823">
        <v>19.733928679999998</v>
      </c>
      <c r="L823">
        <v>19.733928679999998</v>
      </c>
      <c r="M823">
        <v>2.9823393820000001</v>
      </c>
      <c r="N823">
        <v>1</v>
      </c>
      <c r="O823">
        <v>2.9823393820000001</v>
      </c>
    </row>
    <row r="824" spans="1:15">
      <c r="A824">
        <v>-0.84286506699999997</v>
      </c>
      <c r="B824">
        <v>-0.21136648</v>
      </c>
      <c r="C824">
        <v>-0.421432533</v>
      </c>
      <c r="D824">
        <v>-0.74312663000000001</v>
      </c>
      <c r="E824">
        <v>1</v>
      </c>
      <c r="F824">
        <v>22</v>
      </c>
      <c r="G824">
        <v>10</v>
      </c>
      <c r="H824">
        <v>0</v>
      </c>
      <c r="I824">
        <v>0</v>
      </c>
      <c r="J824">
        <v>7.382480621</v>
      </c>
      <c r="K824">
        <v>10.34280968</v>
      </c>
      <c r="N824">
        <v>0</v>
      </c>
      <c r="O824">
        <v>0</v>
      </c>
    </row>
    <row r="825" spans="1:15">
      <c r="A825">
        <v>0.145143246</v>
      </c>
      <c r="B825">
        <v>3.3307300000000001E-3</v>
      </c>
      <c r="C825">
        <v>7.2571623000000002E-2</v>
      </c>
      <c r="D825">
        <v>0.10447128</v>
      </c>
      <c r="E825">
        <v>2</v>
      </c>
      <c r="F825">
        <v>27</v>
      </c>
      <c r="G825">
        <v>12</v>
      </c>
      <c r="H825">
        <v>0</v>
      </c>
      <c r="I825">
        <v>4</v>
      </c>
      <c r="J825">
        <v>41.05365372</v>
      </c>
      <c r="K825">
        <v>19.270858759999999</v>
      </c>
      <c r="L825">
        <v>19.270858759999999</v>
      </c>
      <c r="M825">
        <v>2.958594084</v>
      </c>
      <c r="N825">
        <v>1</v>
      </c>
      <c r="O825">
        <v>2.958594084</v>
      </c>
    </row>
    <row r="826" spans="1:15">
      <c r="A826">
        <v>-8.9148489999999997E-2</v>
      </c>
      <c r="B826">
        <v>-1.241739846</v>
      </c>
      <c r="C826">
        <v>-4.4574244999999998E-2</v>
      </c>
      <c r="D826">
        <v>-0.94506917300000004</v>
      </c>
      <c r="E826">
        <v>3</v>
      </c>
      <c r="F826">
        <v>47</v>
      </c>
      <c r="G826">
        <v>10</v>
      </c>
      <c r="H826">
        <v>1</v>
      </c>
      <c r="I826">
        <v>1</v>
      </c>
      <c r="J826">
        <v>24.95916939</v>
      </c>
      <c r="K826">
        <v>19.865108490000001</v>
      </c>
      <c r="N826">
        <v>0</v>
      </c>
      <c r="O826">
        <v>0</v>
      </c>
    </row>
    <row r="827" spans="1:15">
      <c r="A827">
        <v>0.380170962</v>
      </c>
      <c r="B827">
        <v>1.268606315</v>
      </c>
      <c r="C827">
        <v>0.190085481</v>
      </c>
      <c r="D827">
        <v>1.1688867519999999</v>
      </c>
      <c r="E827">
        <v>4</v>
      </c>
      <c r="F827">
        <v>37</v>
      </c>
      <c r="G827">
        <v>12</v>
      </c>
      <c r="H827">
        <v>1</v>
      </c>
      <c r="I827">
        <v>0</v>
      </c>
      <c r="J827">
        <v>42.826641080000002</v>
      </c>
      <c r="K827">
        <v>22.681026459999998</v>
      </c>
      <c r="L827">
        <v>22.681026459999998</v>
      </c>
      <c r="M827">
        <v>3.1215286249999998</v>
      </c>
      <c r="N827">
        <v>1</v>
      </c>
      <c r="O827">
        <v>3.1215286249999998</v>
      </c>
    </row>
    <row r="828" spans="1:15">
      <c r="A828">
        <v>0.30866648899999999</v>
      </c>
      <c r="B828">
        <v>-0.14327352600000001</v>
      </c>
      <c r="C828">
        <v>0.15433324500000001</v>
      </c>
      <c r="D828">
        <v>0.115331611</v>
      </c>
      <c r="E828">
        <v>5</v>
      </c>
      <c r="F828">
        <v>31</v>
      </c>
      <c r="G828">
        <v>16</v>
      </c>
      <c r="H828">
        <v>1</v>
      </c>
      <c r="I828">
        <v>1</v>
      </c>
      <c r="J828">
        <v>35.78397751</v>
      </c>
      <c r="K828">
        <v>25.051998139999998</v>
      </c>
      <c r="L828">
        <v>25.051998139999998</v>
      </c>
      <c r="M828">
        <v>3.2209537030000002</v>
      </c>
      <c r="N828">
        <v>1</v>
      </c>
      <c r="O828">
        <v>3.2209537030000002</v>
      </c>
    </row>
    <row r="829" spans="1:15">
      <c r="A829">
        <v>-0.10976715300000001</v>
      </c>
      <c r="B829">
        <v>-0.62705462099999998</v>
      </c>
      <c r="C829">
        <v>-5.4883576000000003E-2</v>
      </c>
      <c r="D829">
        <v>-0.52279083800000004</v>
      </c>
      <c r="E829">
        <v>6</v>
      </c>
      <c r="F829">
        <v>34</v>
      </c>
      <c r="G829">
        <v>10</v>
      </c>
      <c r="H829">
        <v>1</v>
      </c>
      <c r="I829">
        <v>1</v>
      </c>
      <c r="J829">
        <v>24.826509479999999</v>
      </c>
      <c r="K829">
        <v>17.141397479999998</v>
      </c>
      <c r="N829">
        <v>0</v>
      </c>
      <c r="O829">
        <v>0</v>
      </c>
    </row>
    <row r="830" spans="1:15">
      <c r="A830">
        <v>-1.464558652</v>
      </c>
      <c r="B830">
        <v>-1.606270292</v>
      </c>
      <c r="C830">
        <v>-0.73227932600000001</v>
      </c>
      <c r="D830">
        <v>-2.171662794</v>
      </c>
      <c r="E830">
        <v>7</v>
      </c>
      <c r="F830">
        <v>45</v>
      </c>
      <c r="G830">
        <v>16</v>
      </c>
      <c r="H830">
        <v>1</v>
      </c>
      <c r="I830">
        <v>1</v>
      </c>
      <c r="J830">
        <v>13.94004631</v>
      </c>
      <c r="K830">
        <v>17.212648389999998</v>
      </c>
      <c r="N830">
        <v>0</v>
      </c>
      <c r="O830">
        <v>0</v>
      </c>
    </row>
    <row r="831" spans="1:15">
      <c r="A831">
        <v>-1.1803570940000001</v>
      </c>
      <c r="B831">
        <v>-0.32050989200000002</v>
      </c>
      <c r="C831">
        <v>-0.59017854700000005</v>
      </c>
      <c r="D831">
        <v>-1.058098693</v>
      </c>
      <c r="E831">
        <v>8</v>
      </c>
      <c r="F831">
        <v>36</v>
      </c>
      <c r="G831">
        <v>12</v>
      </c>
      <c r="H831">
        <v>1</v>
      </c>
      <c r="I831">
        <v>3</v>
      </c>
      <c r="J831">
        <v>30.702816009999999</v>
      </c>
      <c r="K831">
        <v>13.117856979999999</v>
      </c>
      <c r="L831">
        <v>13.117856979999999</v>
      </c>
      <c r="M831">
        <v>2.5739743709999998</v>
      </c>
      <c r="N831">
        <v>1</v>
      </c>
      <c r="O831">
        <v>2.5739743709999998</v>
      </c>
    </row>
    <row r="832" spans="1:15">
      <c r="A832">
        <v>-0.25334785300000001</v>
      </c>
      <c r="B832">
        <v>8.3673892999999999E-2</v>
      </c>
      <c r="C832">
        <v>-0.12667392699999999</v>
      </c>
      <c r="D832">
        <v>-0.118766684</v>
      </c>
      <c r="E832">
        <v>9</v>
      </c>
      <c r="F832">
        <v>52</v>
      </c>
      <c r="G832">
        <v>16</v>
      </c>
      <c r="H832">
        <v>1</v>
      </c>
      <c r="I832">
        <v>5</v>
      </c>
      <c r="J832">
        <v>61.374801640000001</v>
      </c>
      <c r="K832">
        <v>25.879913330000001</v>
      </c>
      <c r="L832">
        <v>25.879913330000001</v>
      </c>
      <c r="M832">
        <v>3.2534670829999999</v>
      </c>
      <c r="N832">
        <v>1</v>
      </c>
      <c r="O832">
        <v>3.2534670829999999</v>
      </c>
    </row>
    <row r="833" spans="1:15">
      <c r="A833">
        <v>-1.3970858429999999</v>
      </c>
      <c r="B833">
        <v>0.253010083</v>
      </c>
      <c r="C833">
        <v>-0.69854292100000004</v>
      </c>
      <c r="D833">
        <v>-0.80302994999999999</v>
      </c>
      <c r="E833">
        <v>0</v>
      </c>
      <c r="F833">
        <v>30</v>
      </c>
      <c r="G833">
        <v>10</v>
      </c>
      <c r="H833">
        <v>0</v>
      </c>
      <c r="I833">
        <v>3</v>
      </c>
      <c r="J833">
        <v>24.86363983</v>
      </c>
      <c r="K833">
        <v>8.6174850460000005</v>
      </c>
      <c r="N833">
        <v>0</v>
      </c>
      <c r="O833">
        <v>0</v>
      </c>
    </row>
    <row r="834" spans="1:15">
      <c r="A834">
        <v>-1.4023922529999999</v>
      </c>
      <c r="B834">
        <v>1.0901858129999999</v>
      </c>
      <c r="C834">
        <v>-0.701196127</v>
      </c>
      <c r="D834">
        <v>-0.21188253600000001</v>
      </c>
      <c r="E834">
        <v>1</v>
      </c>
      <c r="F834">
        <v>57</v>
      </c>
      <c r="G834">
        <v>10</v>
      </c>
      <c r="H834">
        <v>1</v>
      </c>
      <c r="I834">
        <v>0</v>
      </c>
      <c r="J834">
        <v>32.757408140000003</v>
      </c>
      <c r="K834">
        <v>13.98564625</v>
      </c>
      <c r="L834">
        <v>13.98564625</v>
      </c>
      <c r="M834">
        <v>2.6380314829999998</v>
      </c>
      <c r="N834">
        <v>1</v>
      </c>
      <c r="O834">
        <v>2.6380314829999998</v>
      </c>
    </row>
    <row r="835" spans="1:15">
      <c r="A835">
        <v>-0.84074120799999996</v>
      </c>
      <c r="B835">
        <v>-1.5497004560000001</v>
      </c>
      <c r="C835">
        <v>-0.42037060399999998</v>
      </c>
      <c r="D835">
        <v>-1.6926259180000001</v>
      </c>
      <c r="E835">
        <v>2</v>
      </c>
      <c r="F835">
        <v>24</v>
      </c>
      <c r="G835">
        <v>10</v>
      </c>
      <c r="H835">
        <v>1</v>
      </c>
      <c r="I835">
        <v>1</v>
      </c>
      <c r="J835">
        <v>6.7884888649999997</v>
      </c>
      <c r="K835">
        <v>10.755552290000001</v>
      </c>
      <c r="N835">
        <v>0</v>
      </c>
      <c r="O835">
        <v>0</v>
      </c>
    </row>
    <row r="836" spans="1:15">
      <c r="A836">
        <v>0.550340893</v>
      </c>
      <c r="B836">
        <v>-1.2151249710000001</v>
      </c>
      <c r="C836">
        <v>0.27517044699999998</v>
      </c>
      <c r="D836">
        <v>-0.47629288800000003</v>
      </c>
      <c r="E836">
        <v>3</v>
      </c>
      <c r="F836">
        <v>29</v>
      </c>
      <c r="G836">
        <v>12</v>
      </c>
      <c r="H836">
        <v>1</v>
      </c>
      <c r="I836">
        <v>0</v>
      </c>
      <c r="J836">
        <v>19.88448524</v>
      </c>
      <c r="K836">
        <v>22.102045059999998</v>
      </c>
      <c r="N836">
        <v>0</v>
      </c>
      <c r="O836">
        <v>0</v>
      </c>
    </row>
    <row r="837" spans="1:15">
      <c r="A837">
        <v>0.31542336100000001</v>
      </c>
      <c r="B837">
        <v>-0.37731461799999999</v>
      </c>
      <c r="C837">
        <v>0.15771168099999999</v>
      </c>
      <c r="D837">
        <v>-4.6220024999999998E-2</v>
      </c>
      <c r="E837">
        <v>4</v>
      </c>
      <c r="F837">
        <v>35</v>
      </c>
      <c r="G837">
        <v>10</v>
      </c>
      <c r="H837">
        <v>1</v>
      </c>
      <c r="I837">
        <v>1</v>
      </c>
      <c r="J837">
        <v>30.945360180000002</v>
      </c>
      <c r="K837">
        <v>19.892539979999999</v>
      </c>
      <c r="L837">
        <v>19.892539979999999</v>
      </c>
      <c r="M837">
        <v>2.990344763</v>
      </c>
      <c r="N837">
        <v>1</v>
      </c>
      <c r="O837">
        <v>2.990344763</v>
      </c>
    </row>
    <row r="838" spans="1:15">
      <c r="A838">
        <v>0.20610315100000001</v>
      </c>
      <c r="B838">
        <v>-0.45602918799999997</v>
      </c>
      <c r="C838">
        <v>0.10305157600000001</v>
      </c>
      <c r="D838">
        <v>-0.17905697300000001</v>
      </c>
      <c r="E838">
        <v>5</v>
      </c>
      <c r="F838">
        <v>32</v>
      </c>
      <c r="G838">
        <v>12</v>
      </c>
      <c r="H838">
        <v>1</v>
      </c>
      <c r="I838">
        <v>1</v>
      </c>
      <c r="J838">
        <v>29.651315690000001</v>
      </c>
      <c r="K838">
        <v>20.636619570000001</v>
      </c>
      <c r="L838">
        <v>20.636619570000001</v>
      </c>
      <c r="M838">
        <v>3.0270671839999999</v>
      </c>
      <c r="N838">
        <v>1</v>
      </c>
      <c r="O838">
        <v>3.0270671839999999</v>
      </c>
    </row>
    <row r="839" spans="1:15">
      <c r="A839">
        <v>-1.5174826370000001</v>
      </c>
      <c r="B839">
        <v>0.38278596599999998</v>
      </c>
      <c r="C839">
        <v>-0.75874131899999997</v>
      </c>
      <c r="D839">
        <v>-0.79550984199999997</v>
      </c>
      <c r="E839">
        <v>6</v>
      </c>
      <c r="F839">
        <v>32</v>
      </c>
      <c r="G839">
        <v>16</v>
      </c>
      <c r="H839">
        <v>1</v>
      </c>
      <c r="I839">
        <v>1</v>
      </c>
      <c r="J839">
        <v>25.253881450000002</v>
      </c>
      <c r="K839">
        <v>14.295104029999999</v>
      </c>
      <c r="N839">
        <v>0</v>
      </c>
      <c r="O839">
        <v>0</v>
      </c>
    </row>
    <row r="840" spans="1:15">
      <c r="A840">
        <v>-0.25677032900000002</v>
      </c>
      <c r="B840">
        <v>0.60823295499999996</v>
      </c>
      <c r="C840">
        <v>-0.128385165</v>
      </c>
      <c r="D840">
        <v>0.251566874</v>
      </c>
      <c r="E840">
        <v>7</v>
      </c>
      <c r="F840">
        <v>41</v>
      </c>
      <c r="G840">
        <v>12</v>
      </c>
      <c r="H840">
        <v>1</v>
      </c>
      <c r="I840">
        <v>0</v>
      </c>
      <c r="J840">
        <v>33.418804170000001</v>
      </c>
      <c r="K840">
        <v>19.659378050000001</v>
      </c>
      <c r="L840">
        <v>19.659378050000001</v>
      </c>
      <c r="M840">
        <v>2.9785544869999998</v>
      </c>
      <c r="N840">
        <v>1</v>
      </c>
      <c r="O840">
        <v>2.9785544869999998</v>
      </c>
    </row>
    <row r="841" spans="1:15">
      <c r="A841">
        <v>-0.80512374799999997</v>
      </c>
      <c r="B841">
        <v>-0.44870220399999999</v>
      </c>
      <c r="C841">
        <v>-0.40256187399999999</v>
      </c>
      <c r="D841">
        <v>-0.88522260600000002</v>
      </c>
      <c r="E841">
        <v>8</v>
      </c>
      <c r="F841">
        <v>50</v>
      </c>
      <c r="G841">
        <v>16</v>
      </c>
      <c r="H841">
        <v>1</v>
      </c>
      <c r="I841">
        <v>4</v>
      </c>
      <c r="J841">
        <v>46.377326969999999</v>
      </c>
      <c r="K841">
        <v>22.169258119999999</v>
      </c>
      <c r="L841">
        <v>22.169258119999999</v>
      </c>
      <c r="M841">
        <v>3.098706484</v>
      </c>
      <c r="N841">
        <v>1</v>
      </c>
      <c r="O841">
        <v>3.098706484</v>
      </c>
    </row>
    <row r="842" spans="1:15">
      <c r="A842">
        <v>0.32714094199999999</v>
      </c>
      <c r="B842">
        <v>-0.34420293099999999</v>
      </c>
      <c r="C842">
        <v>0.163570471</v>
      </c>
      <c r="D842">
        <v>-1.4448506999999999E-2</v>
      </c>
      <c r="E842">
        <v>9</v>
      </c>
      <c r="F842">
        <v>40</v>
      </c>
      <c r="G842">
        <v>12</v>
      </c>
      <c r="H842">
        <v>1</v>
      </c>
      <c r="I842">
        <v>1</v>
      </c>
      <c r="J842">
        <v>34.826618189999998</v>
      </c>
      <c r="K842">
        <v>22.96284485</v>
      </c>
      <c r="L842">
        <v>22.96284485</v>
      </c>
      <c r="M842">
        <v>3.1338775160000001</v>
      </c>
      <c r="N842">
        <v>1</v>
      </c>
      <c r="O842">
        <v>3.1338775160000001</v>
      </c>
    </row>
    <row r="843" spans="1:15">
      <c r="A843">
        <v>1.032002868</v>
      </c>
      <c r="B843">
        <v>1.4252100919999999</v>
      </c>
      <c r="C843">
        <v>0.51600143399999998</v>
      </c>
      <c r="D843">
        <v>1.7387131979999999</v>
      </c>
      <c r="E843">
        <v>0</v>
      </c>
      <c r="F843">
        <v>25</v>
      </c>
      <c r="G843">
        <v>10</v>
      </c>
      <c r="H843">
        <v>0</v>
      </c>
      <c r="I843">
        <v>1</v>
      </c>
      <c r="J843">
        <v>43.36455917</v>
      </c>
      <c r="K843">
        <v>22.192016599999999</v>
      </c>
      <c r="L843">
        <v>22.192016599999999</v>
      </c>
      <c r="M843">
        <v>3.0997326369999998</v>
      </c>
      <c r="N843">
        <v>1</v>
      </c>
      <c r="O843">
        <v>3.0997326369999998</v>
      </c>
    </row>
    <row r="844" spans="1:15">
      <c r="A844">
        <v>-0.48388964299999998</v>
      </c>
      <c r="B844">
        <v>0.93236652900000005</v>
      </c>
      <c r="C844">
        <v>-0.241944821</v>
      </c>
      <c r="D844">
        <v>0.322117133</v>
      </c>
      <c r="E844">
        <v>1</v>
      </c>
      <c r="F844">
        <v>26</v>
      </c>
      <c r="G844">
        <v>16</v>
      </c>
      <c r="H844">
        <v>1</v>
      </c>
      <c r="I844">
        <v>2</v>
      </c>
      <c r="J844">
        <v>41.265403749999997</v>
      </c>
      <c r="K844">
        <v>19.29666138</v>
      </c>
      <c r="L844">
        <v>19.29666138</v>
      </c>
      <c r="M844">
        <v>2.959932089</v>
      </c>
      <c r="N844">
        <v>1</v>
      </c>
      <c r="O844">
        <v>2.959932089</v>
      </c>
    </row>
    <row r="845" spans="1:15">
      <c r="A845">
        <v>-0.35932499600000001</v>
      </c>
      <c r="B845">
        <v>0.432828351</v>
      </c>
      <c r="C845">
        <v>-0.179662498</v>
      </c>
      <c r="D845">
        <v>5.4783305999999997E-2</v>
      </c>
      <c r="E845">
        <v>2</v>
      </c>
      <c r="F845">
        <v>39</v>
      </c>
      <c r="G845">
        <v>16</v>
      </c>
      <c r="H845">
        <v>0</v>
      </c>
      <c r="I845">
        <v>2</v>
      </c>
      <c r="J845">
        <v>38.257400509999997</v>
      </c>
      <c r="K845">
        <v>22.6440506</v>
      </c>
      <c r="L845">
        <v>22.6440506</v>
      </c>
      <c r="M845">
        <v>3.1198971270000002</v>
      </c>
      <c r="N845">
        <v>1</v>
      </c>
      <c r="O845">
        <v>3.1198971270000002</v>
      </c>
    </row>
    <row r="846" spans="1:15">
      <c r="A846">
        <v>-2.3087052880000001</v>
      </c>
      <c r="B846">
        <v>0.80545635500000001</v>
      </c>
      <c r="C846">
        <v>-1.154352644</v>
      </c>
      <c r="D846">
        <v>-1.0517734409999999</v>
      </c>
      <c r="E846">
        <v>3</v>
      </c>
      <c r="F846">
        <v>30</v>
      </c>
      <c r="G846">
        <v>16</v>
      </c>
      <c r="H846">
        <v>0</v>
      </c>
      <c r="I846">
        <v>2</v>
      </c>
      <c r="J846">
        <v>21.378719329999999</v>
      </c>
      <c r="K846">
        <v>9.1477680209999992</v>
      </c>
      <c r="N846">
        <v>0</v>
      </c>
      <c r="O846">
        <v>0</v>
      </c>
    </row>
    <row r="847" spans="1:15">
      <c r="A847">
        <v>-0.94223883100000005</v>
      </c>
      <c r="B847">
        <v>9.5813932000000004E-2</v>
      </c>
      <c r="C847">
        <v>-0.47111941499999999</v>
      </c>
      <c r="D847">
        <v>-0.59475725000000002</v>
      </c>
      <c r="E847">
        <v>4</v>
      </c>
      <c r="F847">
        <v>36</v>
      </c>
      <c r="G847">
        <v>12</v>
      </c>
      <c r="H847">
        <v>1</v>
      </c>
      <c r="I847">
        <v>0</v>
      </c>
      <c r="J847">
        <v>21.262912750000002</v>
      </c>
      <c r="K847">
        <v>14.54656696</v>
      </c>
      <c r="N847">
        <v>0</v>
      </c>
      <c r="O847">
        <v>0</v>
      </c>
    </row>
    <row r="848" spans="1:15">
      <c r="A848">
        <v>-0.233332596</v>
      </c>
      <c r="B848">
        <v>-0.481879681</v>
      </c>
      <c r="C848">
        <v>-0.116666298</v>
      </c>
      <c r="D848">
        <v>-0.50655753100000001</v>
      </c>
      <c r="E848">
        <v>5</v>
      </c>
      <c r="F848">
        <v>30</v>
      </c>
      <c r="G848">
        <v>16</v>
      </c>
      <c r="H848">
        <v>1</v>
      </c>
      <c r="I848">
        <v>0</v>
      </c>
      <c r="J848">
        <v>22.921310420000001</v>
      </c>
      <c r="K848">
        <v>21.600004200000001</v>
      </c>
      <c r="N848">
        <v>0</v>
      </c>
      <c r="O848">
        <v>0</v>
      </c>
    </row>
    <row r="849" spans="1:15">
      <c r="A849">
        <v>0.44201185300000001</v>
      </c>
      <c r="B849">
        <v>1.554681239</v>
      </c>
      <c r="C849">
        <v>0.22100592599999999</v>
      </c>
      <c r="D849">
        <v>1.415669345</v>
      </c>
      <c r="E849">
        <v>6</v>
      </c>
      <c r="F849">
        <v>38</v>
      </c>
      <c r="G849">
        <v>16</v>
      </c>
      <c r="H849">
        <v>1</v>
      </c>
      <c r="I849">
        <v>0</v>
      </c>
      <c r="J849">
        <v>49.188030240000003</v>
      </c>
      <c r="K849">
        <v>27.25207138</v>
      </c>
      <c r="L849">
        <v>27.25207138</v>
      </c>
      <c r="M849">
        <v>3.3051295280000001</v>
      </c>
      <c r="N849">
        <v>1</v>
      </c>
      <c r="O849">
        <v>3.3051295280000001</v>
      </c>
    </row>
    <row r="850" spans="1:15">
      <c r="A850">
        <v>0.252319187</v>
      </c>
      <c r="B850">
        <v>0.26111820400000002</v>
      </c>
      <c r="C850">
        <v>0.12615959400000001</v>
      </c>
      <c r="D850">
        <v>0.36304541600000001</v>
      </c>
      <c r="E850">
        <v>7</v>
      </c>
      <c r="F850">
        <v>35</v>
      </c>
      <c r="G850">
        <v>16</v>
      </c>
      <c r="H850">
        <v>1</v>
      </c>
      <c r="I850">
        <v>1</v>
      </c>
      <c r="J850">
        <v>40.356544489999997</v>
      </c>
      <c r="K850">
        <v>25.51391602</v>
      </c>
      <c r="L850">
        <v>25.51391602</v>
      </c>
      <c r="M850">
        <v>3.2392239570000001</v>
      </c>
      <c r="N850">
        <v>1</v>
      </c>
      <c r="O850">
        <v>3.2392239570000001</v>
      </c>
    </row>
    <row r="851" spans="1:15">
      <c r="A851">
        <v>1.4179064E-2</v>
      </c>
      <c r="B851">
        <v>1.8585843929999999</v>
      </c>
      <c r="C851">
        <v>7.089532E-3</v>
      </c>
      <c r="D851">
        <v>1.3306475179999999</v>
      </c>
      <c r="E851">
        <v>8</v>
      </c>
      <c r="F851">
        <v>36</v>
      </c>
      <c r="G851">
        <v>16</v>
      </c>
      <c r="H851">
        <v>1</v>
      </c>
      <c r="I851">
        <v>4</v>
      </c>
      <c r="J851">
        <v>67.367767330000007</v>
      </c>
      <c r="K851">
        <v>24.285074229999999</v>
      </c>
      <c r="L851">
        <v>24.285074229999999</v>
      </c>
      <c r="M851">
        <v>3.1898620129999999</v>
      </c>
      <c r="N851">
        <v>1</v>
      </c>
      <c r="O851">
        <v>3.1898620129999999</v>
      </c>
    </row>
    <row r="852" spans="1:15">
      <c r="A852">
        <v>0.44631905300000002</v>
      </c>
      <c r="B852">
        <v>-1.6195720979999999</v>
      </c>
      <c r="C852">
        <v>0.223159526</v>
      </c>
      <c r="D852">
        <v>-0.83686161199999998</v>
      </c>
      <c r="E852">
        <v>9</v>
      </c>
      <c r="F852">
        <v>39</v>
      </c>
      <c r="G852">
        <v>16</v>
      </c>
      <c r="H852">
        <v>1</v>
      </c>
      <c r="I852">
        <v>2</v>
      </c>
      <c r="J852">
        <v>32.557659149999999</v>
      </c>
      <c r="K852">
        <v>27.477914810000001</v>
      </c>
      <c r="L852">
        <v>27.477914810000001</v>
      </c>
      <c r="M852">
        <v>3.3133826260000001</v>
      </c>
      <c r="N852">
        <v>1</v>
      </c>
      <c r="O852">
        <v>3.3133826260000001</v>
      </c>
    </row>
    <row r="853" spans="1:15">
      <c r="A853">
        <v>0.242926689</v>
      </c>
      <c r="B853">
        <v>-0.32034909499999997</v>
      </c>
      <c r="C853">
        <v>0.121463345</v>
      </c>
      <c r="D853">
        <v>-5.6741001999999999E-2</v>
      </c>
      <c r="E853">
        <v>0</v>
      </c>
      <c r="F853">
        <v>22</v>
      </c>
      <c r="G853">
        <v>10</v>
      </c>
      <c r="H853">
        <v>0</v>
      </c>
      <c r="I853">
        <v>3</v>
      </c>
      <c r="J853">
        <v>30.619108199999999</v>
      </c>
      <c r="K853">
        <v>16.857559200000001</v>
      </c>
      <c r="L853">
        <v>16.857559200000001</v>
      </c>
      <c r="M853">
        <v>2.8247990610000002</v>
      </c>
      <c r="N853">
        <v>1</v>
      </c>
      <c r="O853">
        <v>2.8247990610000002</v>
      </c>
    </row>
    <row r="854" spans="1:15">
      <c r="A854">
        <v>0.667609016</v>
      </c>
      <c r="B854">
        <v>-0.161987348</v>
      </c>
      <c r="C854">
        <v>0.333804508</v>
      </c>
      <c r="D854">
        <v>0.35454075299999999</v>
      </c>
      <c r="E854">
        <v>1</v>
      </c>
      <c r="F854">
        <v>24</v>
      </c>
      <c r="G854">
        <v>10</v>
      </c>
      <c r="H854">
        <v>1</v>
      </c>
      <c r="I854">
        <v>1</v>
      </c>
      <c r="J854">
        <v>31.354488369999999</v>
      </c>
      <c r="K854">
        <v>19.805654530000002</v>
      </c>
      <c r="L854">
        <v>19.805654530000002</v>
      </c>
      <c r="M854">
        <v>2.9859673980000001</v>
      </c>
      <c r="N854">
        <v>1</v>
      </c>
      <c r="O854">
        <v>2.9859673980000001</v>
      </c>
    </row>
    <row r="855" spans="1:15">
      <c r="A855">
        <v>-0.38827235799999998</v>
      </c>
      <c r="B855">
        <v>1.0388082759999999</v>
      </c>
      <c r="C855">
        <v>-0.19413617899999999</v>
      </c>
      <c r="D855">
        <v>0.46501680299999998</v>
      </c>
      <c r="E855">
        <v>2</v>
      </c>
      <c r="F855">
        <v>31</v>
      </c>
      <c r="G855">
        <v>10</v>
      </c>
      <c r="H855">
        <v>0</v>
      </c>
      <c r="I855">
        <v>1</v>
      </c>
      <c r="J855">
        <v>30.48020172</v>
      </c>
      <c r="K855">
        <v>14.8703661</v>
      </c>
      <c r="L855">
        <v>14.8703661</v>
      </c>
      <c r="M855">
        <v>2.6993703839999998</v>
      </c>
      <c r="N855">
        <v>1</v>
      </c>
      <c r="O855">
        <v>2.6993703839999998</v>
      </c>
    </row>
    <row r="856" spans="1:15">
      <c r="A856">
        <v>0.52656292199999999</v>
      </c>
      <c r="B856">
        <v>0.29886209899999999</v>
      </c>
      <c r="C856">
        <v>0.26328146099999999</v>
      </c>
      <c r="D856">
        <v>0.58278886699999999</v>
      </c>
      <c r="E856">
        <v>3</v>
      </c>
      <c r="F856">
        <v>29</v>
      </c>
      <c r="G856">
        <v>16</v>
      </c>
      <c r="H856">
        <v>0</v>
      </c>
      <c r="I856">
        <v>3</v>
      </c>
      <c r="J856">
        <v>45.593467709999999</v>
      </c>
      <c r="K856">
        <v>25.959377289999999</v>
      </c>
      <c r="L856">
        <v>25.959377289999999</v>
      </c>
      <c r="M856">
        <v>3.256532907</v>
      </c>
      <c r="N856">
        <v>1</v>
      </c>
      <c r="O856">
        <v>3.256532907</v>
      </c>
    </row>
    <row r="857" spans="1:15">
      <c r="A857">
        <v>0.48695695100000003</v>
      </c>
      <c r="B857">
        <v>-1.85873526</v>
      </c>
      <c r="C857">
        <v>0.243478476</v>
      </c>
      <c r="D857">
        <v>-0.97821846000000001</v>
      </c>
      <c r="E857">
        <v>4</v>
      </c>
      <c r="F857">
        <v>28</v>
      </c>
      <c r="G857">
        <v>10</v>
      </c>
      <c r="H857">
        <v>1</v>
      </c>
      <c r="I857">
        <v>2</v>
      </c>
      <c r="J857">
        <v>21.961378100000001</v>
      </c>
      <c r="K857">
        <v>19.52174187</v>
      </c>
      <c r="N857">
        <v>0</v>
      </c>
      <c r="O857">
        <v>0</v>
      </c>
    </row>
    <row r="858" spans="1:15">
      <c r="A858">
        <v>0.20435034099999999</v>
      </c>
      <c r="B858">
        <v>-0.61549430699999996</v>
      </c>
      <c r="C858">
        <v>0.102175171</v>
      </c>
      <c r="D858">
        <v>-0.29360275499999999</v>
      </c>
      <c r="E858">
        <v>5</v>
      </c>
      <c r="F858">
        <v>30</v>
      </c>
      <c r="G858">
        <v>10</v>
      </c>
      <c r="H858">
        <v>1</v>
      </c>
      <c r="I858">
        <v>0</v>
      </c>
      <c r="J858">
        <v>20.97676659</v>
      </c>
      <c r="K858">
        <v>18.226102829999999</v>
      </c>
      <c r="N858">
        <v>0</v>
      </c>
      <c r="O858">
        <v>0</v>
      </c>
    </row>
    <row r="859" spans="1:15">
      <c r="A859">
        <v>0.96523237799999995</v>
      </c>
      <c r="B859">
        <v>0.85704958799999997</v>
      </c>
      <c r="C859">
        <v>0.48261618899999997</v>
      </c>
      <c r="D859">
        <v>1.2880183860000001</v>
      </c>
      <c r="E859">
        <v>6</v>
      </c>
      <c r="F859">
        <v>38</v>
      </c>
      <c r="G859">
        <v>10</v>
      </c>
      <c r="H859">
        <v>1</v>
      </c>
      <c r="I859">
        <v>3</v>
      </c>
      <c r="J859">
        <v>58.156219479999997</v>
      </c>
      <c r="K859">
        <v>24.391393659999999</v>
      </c>
      <c r="L859">
        <v>24.391393659999999</v>
      </c>
      <c r="M859">
        <v>3.1942303179999998</v>
      </c>
      <c r="N859">
        <v>1</v>
      </c>
      <c r="O859">
        <v>3.1942303179999998</v>
      </c>
    </row>
    <row r="860" spans="1:15">
      <c r="A860">
        <v>-1.1479904489999999</v>
      </c>
      <c r="B860">
        <v>-0.61174445899999996</v>
      </c>
      <c r="C860">
        <v>-0.573995225</v>
      </c>
      <c r="D860">
        <v>-1.2422750549999999</v>
      </c>
      <c r="E860">
        <v>7</v>
      </c>
      <c r="F860">
        <v>40</v>
      </c>
      <c r="G860">
        <v>16</v>
      </c>
      <c r="H860">
        <v>1</v>
      </c>
      <c r="I860">
        <v>3</v>
      </c>
      <c r="J860">
        <v>33.092700960000002</v>
      </c>
      <c r="K860">
        <v>18.112056729999999</v>
      </c>
      <c r="L860">
        <v>18.112056729999999</v>
      </c>
      <c r="M860">
        <v>2.896577835</v>
      </c>
      <c r="N860">
        <v>1</v>
      </c>
      <c r="O860">
        <v>2.896577835</v>
      </c>
    </row>
    <row r="861" spans="1:15">
      <c r="A861">
        <v>0.47395064199999998</v>
      </c>
      <c r="B861">
        <v>1.537152106</v>
      </c>
      <c r="C861">
        <v>0.23697532099999999</v>
      </c>
      <c r="D861">
        <v>1.4256816080000001</v>
      </c>
      <c r="E861">
        <v>8</v>
      </c>
      <c r="F861">
        <v>39</v>
      </c>
      <c r="G861">
        <v>12</v>
      </c>
      <c r="H861">
        <v>1</v>
      </c>
      <c r="I861">
        <v>5</v>
      </c>
      <c r="J861">
        <v>71.708175659999995</v>
      </c>
      <c r="K861">
        <v>23.643703460000001</v>
      </c>
      <c r="L861">
        <v>23.643703460000001</v>
      </c>
      <c r="M861">
        <v>3.1630969050000002</v>
      </c>
      <c r="N861">
        <v>1</v>
      </c>
      <c r="O861">
        <v>3.1630969050000002</v>
      </c>
    </row>
    <row r="862" spans="1:15">
      <c r="A862">
        <v>0.71605044200000001</v>
      </c>
      <c r="B862">
        <v>-0.39483047100000002</v>
      </c>
      <c r="C862">
        <v>0.358025221</v>
      </c>
      <c r="D862">
        <v>0.223164378</v>
      </c>
      <c r="E862">
        <v>9</v>
      </c>
      <c r="F862">
        <v>45</v>
      </c>
      <c r="G862">
        <v>20</v>
      </c>
      <c r="H862">
        <v>1</v>
      </c>
      <c r="I862">
        <v>3</v>
      </c>
      <c r="J862">
        <v>55.677970889999997</v>
      </c>
      <c r="K862">
        <v>34.296302799999999</v>
      </c>
      <c r="L862">
        <v>34.296302799999999</v>
      </c>
      <c r="M862">
        <v>3.5350375180000002</v>
      </c>
      <c r="N862">
        <v>1</v>
      </c>
      <c r="O862">
        <v>3.5350375180000002</v>
      </c>
    </row>
    <row r="863" spans="1:15">
      <c r="A863">
        <v>-0.48528438600000001</v>
      </c>
      <c r="B863">
        <v>-0.61942219799999998</v>
      </c>
      <c r="C863">
        <v>-0.24264219300000001</v>
      </c>
      <c r="D863">
        <v>-0.78153407900000005</v>
      </c>
      <c r="E863">
        <v>0</v>
      </c>
      <c r="F863">
        <v>20</v>
      </c>
      <c r="G863">
        <v>16</v>
      </c>
      <c r="H863">
        <v>1</v>
      </c>
      <c r="I863">
        <v>0</v>
      </c>
      <c r="J863">
        <v>15.62159061</v>
      </c>
      <c r="K863">
        <v>18.08829308</v>
      </c>
      <c r="N863">
        <v>0</v>
      </c>
      <c r="O863">
        <v>0</v>
      </c>
    </row>
    <row r="864" spans="1:15">
      <c r="A864">
        <v>-0.62902044599999996</v>
      </c>
      <c r="B864">
        <v>-0.60919682900000005</v>
      </c>
      <c r="C864">
        <v>-0.31451022299999998</v>
      </c>
      <c r="D864">
        <v>-0.87538274800000004</v>
      </c>
      <c r="E864">
        <v>1</v>
      </c>
      <c r="F864">
        <v>22</v>
      </c>
      <c r="G864">
        <v>20</v>
      </c>
      <c r="H864">
        <v>1</v>
      </c>
      <c r="I864">
        <v>2</v>
      </c>
      <c r="J864">
        <v>28.29540634</v>
      </c>
      <c r="K864">
        <v>21.625877379999999</v>
      </c>
      <c r="N864">
        <v>0</v>
      </c>
      <c r="O864">
        <v>0</v>
      </c>
    </row>
    <row r="865" spans="1:15">
      <c r="A865">
        <v>-0.59914071199999996</v>
      </c>
      <c r="B865">
        <v>-1.5882197760000001</v>
      </c>
      <c r="C865">
        <v>-0.29957035599999998</v>
      </c>
      <c r="D865">
        <v>-1.550037259</v>
      </c>
      <c r="E865">
        <v>2</v>
      </c>
      <c r="F865">
        <v>28</v>
      </c>
      <c r="G865">
        <v>10</v>
      </c>
      <c r="H865">
        <v>1</v>
      </c>
      <c r="I865">
        <v>0</v>
      </c>
      <c r="J865">
        <v>5.0995531080000003</v>
      </c>
      <c r="K865">
        <v>13.00515556</v>
      </c>
      <c r="N865">
        <v>0</v>
      </c>
      <c r="O865">
        <v>0</v>
      </c>
    </row>
    <row r="866" spans="1:15">
      <c r="A866">
        <v>1.336767488</v>
      </c>
      <c r="B866">
        <v>-1.064469785</v>
      </c>
      <c r="C866">
        <v>0.668383744</v>
      </c>
      <c r="D866">
        <v>0.183990502</v>
      </c>
      <c r="E866">
        <v>3</v>
      </c>
      <c r="F866">
        <v>35</v>
      </c>
      <c r="G866">
        <v>12</v>
      </c>
      <c r="H866">
        <v>0</v>
      </c>
      <c r="I866">
        <v>3</v>
      </c>
      <c r="J866">
        <v>40.207885740000002</v>
      </c>
      <c r="K866">
        <v>28.02060509</v>
      </c>
      <c r="L866">
        <v>28.02060509</v>
      </c>
      <c r="M866">
        <v>3.3329401019999998</v>
      </c>
      <c r="N866">
        <v>1</v>
      </c>
      <c r="O866">
        <v>3.3329401019999998</v>
      </c>
    </row>
    <row r="867" spans="1:15">
      <c r="A867">
        <v>-1.2307553959999999</v>
      </c>
      <c r="B867">
        <v>-1.6848221999999999</v>
      </c>
      <c r="C867">
        <v>-0.61537769799999997</v>
      </c>
      <c r="D867">
        <v>-2.06300565</v>
      </c>
      <c r="E867">
        <v>4</v>
      </c>
      <c r="F867">
        <v>29</v>
      </c>
      <c r="G867">
        <v>12</v>
      </c>
      <c r="H867">
        <v>1</v>
      </c>
      <c r="I867">
        <v>1</v>
      </c>
      <c r="J867">
        <v>5.8439321519999998</v>
      </c>
      <c r="K867">
        <v>11.41546726</v>
      </c>
      <c r="N867">
        <v>0</v>
      </c>
      <c r="O867">
        <v>0</v>
      </c>
    </row>
    <row r="868" spans="1:15">
      <c r="A868">
        <v>-0.14257718699999999</v>
      </c>
      <c r="B868">
        <v>0.158955285</v>
      </c>
      <c r="C868">
        <v>-7.1288593999999997E-2</v>
      </c>
      <c r="D868">
        <v>1.2651074E-2</v>
      </c>
      <c r="E868">
        <v>5</v>
      </c>
      <c r="F868">
        <v>31</v>
      </c>
      <c r="G868">
        <v>16</v>
      </c>
      <c r="H868">
        <v>1</v>
      </c>
      <c r="I868">
        <v>1</v>
      </c>
      <c r="J868">
        <v>34.551811219999998</v>
      </c>
      <c r="K868">
        <v>22.344537729999999</v>
      </c>
      <c r="L868">
        <v>22.344537729999999</v>
      </c>
      <c r="M868">
        <v>3.106581926</v>
      </c>
      <c r="N868">
        <v>1</v>
      </c>
      <c r="O868">
        <v>3.106581926</v>
      </c>
    </row>
    <row r="869" spans="1:15">
      <c r="A869">
        <v>-1.084763361</v>
      </c>
      <c r="B869">
        <v>-2.5249005000000001E-2</v>
      </c>
      <c r="C869">
        <v>-0.54238167999999998</v>
      </c>
      <c r="D869">
        <v>-0.78104448400000004</v>
      </c>
      <c r="E869">
        <v>6</v>
      </c>
      <c r="F869">
        <v>34</v>
      </c>
      <c r="G869">
        <v>16</v>
      </c>
      <c r="H869">
        <v>0</v>
      </c>
      <c r="I869">
        <v>4</v>
      </c>
      <c r="J869">
        <v>36.227466579999998</v>
      </c>
      <c r="K869">
        <v>17.291419980000001</v>
      </c>
      <c r="L869">
        <v>17.291419980000001</v>
      </c>
      <c r="M869">
        <v>2.850210428</v>
      </c>
      <c r="N869">
        <v>1</v>
      </c>
      <c r="O869">
        <v>2.850210428</v>
      </c>
    </row>
    <row r="870" spans="1:15">
      <c r="A870">
        <v>1.115766743</v>
      </c>
      <c r="B870">
        <v>-1.551221253</v>
      </c>
      <c r="C870">
        <v>0.55788337200000004</v>
      </c>
      <c r="D870">
        <v>-0.317353685</v>
      </c>
      <c r="E870">
        <v>7</v>
      </c>
      <c r="F870">
        <v>49</v>
      </c>
      <c r="G870">
        <v>16</v>
      </c>
      <c r="H870">
        <v>1</v>
      </c>
      <c r="I870">
        <v>1</v>
      </c>
      <c r="J870">
        <v>37.791755680000001</v>
      </c>
      <c r="K870">
        <v>33.494602200000003</v>
      </c>
      <c r="L870">
        <v>33.494602200000003</v>
      </c>
      <c r="M870">
        <v>3.5113842489999998</v>
      </c>
      <c r="N870">
        <v>1</v>
      </c>
      <c r="O870">
        <v>3.5113842489999998</v>
      </c>
    </row>
    <row r="871" spans="1:15">
      <c r="A871">
        <v>-1.277956402</v>
      </c>
      <c r="B871">
        <v>0.59457154099999998</v>
      </c>
      <c r="C871">
        <v>-0.63897820100000002</v>
      </c>
      <c r="D871">
        <v>-0.47651871699999998</v>
      </c>
      <c r="E871">
        <v>8</v>
      </c>
      <c r="F871">
        <v>36</v>
      </c>
      <c r="G871">
        <v>16</v>
      </c>
      <c r="H871">
        <v>1</v>
      </c>
      <c r="I871">
        <v>0</v>
      </c>
      <c r="J871">
        <v>25.68177605</v>
      </c>
      <c r="K871">
        <v>16.53226089</v>
      </c>
      <c r="N871">
        <v>0</v>
      </c>
      <c r="O871">
        <v>0</v>
      </c>
    </row>
    <row r="872" spans="1:15">
      <c r="A872">
        <v>-0.68466428700000004</v>
      </c>
      <c r="B872">
        <v>-0.379052742</v>
      </c>
      <c r="C872">
        <v>-0.342332144</v>
      </c>
      <c r="D872">
        <v>-0.75099096700000001</v>
      </c>
      <c r="E872">
        <v>9</v>
      </c>
      <c r="F872">
        <v>50</v>
      </c>
      <c r="G872">
        <v>16</v>
      </c>
      <c r="H872">
        <v>1</v>
      </c>
      <c r="I872">
        <v>1</v>
      </c>
      <c r="J872">
        <v>32.988109590000001</v>
      </c>
      <c r="K872">
        <v>22.892013550000001</v>
      </c>
      <c r="L872">
        <v>22.892013550000001</v>
      </c>
      <c r="M872">
        <v>3.1307880880000001</v>
      </c>
      <c r="N872">
        <v>1</v>
      </c>
      <c r="O872">
        <v>3.1307880880000001</v>
      </c>
    </row>
    <row r="873" spans="1:15">
      <c r="A873">
        <v>0.41224457199999998</v>
      </c>
      <c r="B873">
        <v>0.54075233499999997</v>
      </c>
      <c r="C873">
        <v>0.20612228599999999</v>
      </c>
      <c r="D873">
        <v>0.67425122199999998</v>
      </c>
      <c r="E873">
        <v>0</v>
      </c>
      <c r="F873">
        <v>23</v>
      </c>
      <c r="G873">
        <v>10</v>
      </c>
      <c r="H873">
        <v>0</v>
      </c>
      <c r="I873">
        <v>0</v>
      </c>
      <c r="J873">
        <v>24.791013719999999</v>
      </c>
      <c r="K873">
        <v>18.07346725</v>
      </c>
      <c r="N873">
        <v>0</v>
      </c>
      <c r="O873">
        <v>0</v>
      </c>
    </row>
    <row r="874" spans="1:15">
      <c r="A874">
        <v>0.28944540699999999</v>
      </c>
      <c r="B874">
        <v>0.17657790200000001</v>
      </c>
      <c r="C874">
        <v>0.14472270300000001</v>
      </c>
      <c r="D874">
        <v>0.32909010500000002</v>
      </c>
      <c r="E874">
        <v>1</v>
      </c>
      <c r="F874">
        <v>23</v>
      </c>
      <c r="G874">
        <v>16</v>
      </c>
      <c r="H874">
        <v>0</v>
      </c>
      <c r="I874">
        <v>0</v>
      </c>
      <c r="J874">
        <v>25.149082180000001</v>
      </c>
      <c r="K874">
        <v>23.33667183</v>
      </c>
      <c r="N874">
        <v>0</v>
      </c>
      <c r="O874">
        <v>0</v>
      </c>
    </row>
    <row r="875" spans="1:15">
      <c r="A875">
        <v>0.32562697600000001</v>
      </c>
      <c r="B875">
        <v>0.15321411700000001</v>
      </c>
      <c r="C875">
        <v>0.16281348800000001</v>
      </c>
      <c r="D875">
        <v>0.33794106800000001</v>
      </c>
      <c r="E875">
        <v>2</v>
      </c>
      <c r="F875">
        <v>24</v>
      </c>
      <c r="G875">
        <v>20</v>
      </c>
      <c r="H875">
        <v>0</v>
      </c>
      <c r="I875">
        <v>0</v>
      </c>
      <c r="J875">
        <v>28.655292509999999</v>
      </c>
      <c r="K875">
        <v>27.75376129</v>
      </c>
      <c r="N875">
        <v>0</v>
      </c>
      <c r="O875">
        <v>0</v>
      </c>
    </row>
    <row r="876" spans="1:15">
      <c r="A876">
        <v>-0.58172435899999997</v>
      </c>
      <c r="B876">
        <v>0.66676142699999996</v>
      </c>
      <c r="C876">
        <v>-0.29086218000000003</v>
      </c>
      <c r="D876">
        <v>6.4559257999999994E-2</v>
      </c>
      <c r="E876">
        <v>3</v>
      </c>
      <c r="F876">
        <v>35</v>
      </c>
      <c r="G876">
        <v>10</v>
      </c>
      <c r="H876">
        <v>0</v>
      </c>
      <c r="I876">
        <v>2</v>
      </c>
      <c r="J876">
        <v>32.274711609999997</v>
      </c>
      <c r="K876">
        <v>14.50965405</v>
      </c>
      <c r="L876">
        <v>14.50965405</v>
      </c>
      <c r="M876">
        <v>2.6748142239999999</v>
      </c>
      <c r="N876">
        <v>1</v>
      </c>
      <c r="O876">
        <v>2.6748142239999999</v>
      </c>
    </row>
    <row r="877" spans="1:15">
      <c r="A877">
        <v>0.986141716</v>
      </c>
      <c r="B877">
        <v>-1.5098240549999999</v>
      </c>
      <c r="C877">
        <v>0.493070858</v>
      </c>
      <c r="D877">
        <v>-0.37912552700000002</v>
      </c>
      <c r="E877">
        <v>4</v>
      </c>
      <c r="F877">
        <v>30</v>
      </c>
      <c r="G877">
        <v>16</v>
      </c>
      <c r="H877">
        <v>0</v>
      </c>
      <c r="I877">
        <v>2</v>
      </c>
      <c r="J877">
        <v>29.450492860000001</v>
      </c>
      <c r="K877">
        <v>28.916851040000001</v>
      </c>
      <c r="L877">
        <v>28.916851040000001</v>
      </c>
      <c r="M877">
        <v>3.3644244670000001</v>
      </c>
      <c r="N877">
        <v>1</v>
      </c>
      <c r="O877">
        <v>3.3644244670000001</v>
      </c>
    </row>
    <row r="878" spans="1:15">
      <c r="A878">
        <v>-0.64078270199999998</v>
      </c>
      <c r="B878">
        <v>0.385349575</v>
      </c>
      <c r="C878">
        <v>-0.32039135099999999</v>
      </c>
      <c r="D878">
        <v>-0.17695240000000001</v>
      </c>
      <c r="E878">
        <v>5</v>
      </c>
      <c r="F878">
        <v>32</v>
      </c>
      <c r="G878">
        <v>20</v>
      </c>
      <c r="H878">
        <v>1</v>
      </c>
      <c r="I878">
        <v>0</v>
      </c>
      <c r="J878">
        <v>30.676570890000001</v>
      </c>
      <c r="K878">
        <v>23.55530357</v>
      </c>
      <c r="L878">
        <v>23.55530357</v>
      </c>
      <c r="M878">
        <v>3.1593511099999998</v>
      </c>
      <c r="N878">
        <v>1</v>
      </c>
      <c r="O878">
        <v>3.1593511099999998</v>
      </c>
    </row>
    <row r="879" spans="1:15">
      <c r="A879">
        <v>-8.1514690000000001E-2</v>
      </c>
      <c r="B879">
        <v>7.7480536000000003E-2</v>
      </c>
      <c r="C879">
        <v>-4.0757345E-2</v>
      </c>
      <c r="D879">
        <v>-2.2873619999999998E-3</v>
      </c>
      <c r="E879">
        <v>6</v>
      </c>
      <c r="F879">
        <v>40</v>
      </c>
      <c r="G879">
        <v>12</v>
      </c>
      <c r="H879">
        <v>1</v>
      </c>
      <c r="I879">
        <v>1</v>
      </c>
      <c r="J879">
        <v>34.972553249999997</v>
      </c>
      <c r="K879">
        <v>20.51091194</v>
      </c>
      <c r="L879">
        <v>20.51091194</v>
      </c>
      <c r="M879">
        <v>3.020956993</v>
      </c>
      <c r="N879">
        <v>1</v>
      </c>
      <c r="O879">
        <v>3.020956993</v>
      </c>
    </row>
    <row r="880" spans="1:15">
      <c r="A880">
        <v>0.21608544800000001</v>
      </c>
      <c r="B880">
        <v>1.2256186549999999</v>
      </c>
      <c r="C880">
        <v>0.10804272400000001</v>
      </c>
      <c r="D880">
        <v>1.0229106530000001</v>
      </c>
      <c r="E880">
        <v>7</v>
      </c>
      <c r="F880">
        <v>46</v>
      </c>
      <c r="G880">
        <v>20</v>
      </c>
      <c r="H880">
        <v>1</v>
      </c>
      <c r="I880">
        <v>3</v>
      </c>
      <c r="J880">
        <v>65.674926760000005</v>
      </c>
      <c r="K880">
        <v>31.496513369999999</v>
      </c>
      <c r="L880">
        <v>31.496513369999999</v>
      </c>
      <c r="M880">
        <v>3.4498767849999998</v>
      </c>
      <c r="N880">
        <v>1</v>
      </c>
      <c r="O880">
        <v>3.4498767849999998</v>
      </c>
    </row>
    <row r="881" spans="1:15">
      <c r="A881">
        <v>-1.428756307</v>
      </c>
      <c r="B881">
        <v>-0.26627985500000001</v>
      </c>
      <c r="C881">
        <v>-0.71437815299999996</v>
      </c>
      <c r="D881">
        <v>-1.194306353</v>
      </c>
      <c r="E881">
        <v>8</v>
      </c>
      <c r="F881">
        <v>39</v>
      </c>
      <c r="G881">
        <v>12</v>
      </c>
      <c r="H881">
        <v>1</v>
      </c>
      <c r="I881">
        <v>1</v>
      </c>
      <c r="J881">
        <v>20.268323899999999</v>
      </c>
      <c r="K881">
        <v>12.227461809999999</v>
      </c>
      <c r="N881">
        <v>0</v>
      </c>
      <c r="O881">
        <v>0</v>
      </c>
    </row>
    <row r="882" spans="1:15">
      <c r="A882">
        <v>0.54819056600000005</v>
      </c>
      <c r="B882">
        <v>-1.062730835</v>
      </c>
      <c r="C882">
        <v>0.27409528300000002</v>
      </c>
      <c r="D882">
        <v>-0.36951736099999999</v>
      </c>
      <c r="E882">
        <v>9</v>
      </c>
      <c r="F882">
        <v>40</v>
      </c>
      <c r="G882">
        <v>12</v>
      </c>
      <c r="H882">
        <v>1</v>
      </c>
      <c r="I882">
        <v>5</v>
      </c>
      <c r="J882">
        <v>50.565792080000001</v>
      </c>
      <c r="K882">
        <v>24.289142609999999</v>
      </c>
      <c r="L882">
        <v>24.289142609999999</v>
      </c>
      <c r="M882">
        <v>3.1900293830000002</v>
      </c>
      <c r="N882">
        <v>1</v>
      </c>
      <c r="O882">
        <v>3.1900293830000002</v>
      </c>
    </row>
    <row r="883" spans="1:15">
      <c r="A883">
        <v>-2.0720795949999999</v>
      </c>
      <c r="B883">
        <v>0.193112435</v>
      </c>
      <c r="C883">
        <v>-1.036039798</v>
      </c>
      <c r="D883">
        <v>-1.320432716</v>
      </c>
      <c r="E883">
        <v>0</v>
      </c>
      <c r="F883">
        <v>22</v>
      </c>
      <c r="G883">
        <v>12</v>
      </c>
      <c r="H883">
        <v>1</v>
      </c>
      <c r="I883">
        <v>3</v>
      </c>
      <c r="J883">
        <v>21.954807280000001</v>
      </c>
      <c r="K883">
        <v>4.9675226209999996</v>
      </c>
      <c r="N883">
        <v>0</v>
      </c>
      <c r="O883">
        <v>0</v>
      </c>
    </row>
    <row r="884" spans="1:15">
      <c r="A884">
        <v>-0.240980792</v>
      </c>
      <c r="B884">
        <v>0.22257111500000001</v>
      </c>
      <c r="C884">
        <v>-0.120490396</v>
      </c>
      <c r="D884">
        <v>-1.1369186999999999E-2</v>
      </c>
      <c r="E884">
        <v>1</v>
      </c>
      <c r="F884">
        <v>32</v>
      </c>
      <c r="G884">
        <v>12</v>
      </c>
      <c r="H884">
        <v>0</v>
      </c>
      <c r="I884">
        <v>3</v>
      </c>
      <c r="J884">
        <v>36.663570399999998</v>
      </c>
      <c r="K884">
        <v>17.954114910000001</v>
      </c>
      <c r="L884">
        <v>17.954114910000001</v>
      </c>
      <c r="M884">
        <v>2.8878192899999999</v>
      </c>
      <c r="N884">
        <v>1</v>
      </c>
      <c r="O884">
        <v>2.8878192899999999</v>
      </c>
    </row>
    <row r="885" spans="1:15">
      <c r="A885">
        <v>-1.950962292</v>
      </c>
      <c r="B885">
        <v>1.769417464</v>
      </c>
      <c r="C885">
        <v>-0.97548114600000002</v>
      </c>
      <c r="D885">
        <v>-0.115138978</v>
      </c>
      <c r="E885">
        <v>2</v>
      </c>
      <c r="F885">
        <v>27</v>
      </c>
      <c r="G885">
        <v>12</v>
      </c>
      <c r="H885">
        <v>1</v>
      </c>
      <c r="I885">
        <v>0</v>
      </c>
      <c r="J885">
        <v>23.418333050000001</v>
      </c>
      <c r="K885">
        <v>6.6942262650000002</v>
      </c>
      <c r="N885">
        <v>0</v>
      </c>
      <c r="O885">
        <v>0</v>
      </c>
    </row>
    <row r="886" spans="1:15">
      <c r="A886">
        <v>-1.208140607</v>
      </c>
      <c r="B886">
        <v>-0.18534591</v>
      </c>
      <c r="C886">
        <v>-0.60407030299999998</v>
      </c>
      <c r="D886">
        <v>-0.98159885400000002</v>
      </c>
      <c r="E886">
        <v>3</v>
      </c>
      <c r="F886">
        <v>42</v>
      </c>
      <c r="G886">
        <v>12</v>
      </c>
      <c r="H886">
        <v>1</v>
      </c>
      <c r="I886">
        <v>1</v>
      </c>
      <c r="J886">
        <v>24.02081299</v>
      </c>
      <c r="K886">
        <v>14.15115643</v>
      </c>
      <c r="N886">
        <v>0</v>
      </c>
      <c r="O886">
        <v>0</v>
      </c>
    </row>
    <row r="887" spans="1:15">
      <c r="A887">
        <v>0.162002231</v>
      </c>
      <c r="B887">
        <v>-0.78787204600000005</v>
      </c>
      <c r="C887">
        <v>8.1001115999999998E-2</v>
      </c>
      <c r="D887">
        <v>-0.445881733</v>
      </c>
      <c r="E887">
        <v>4</v>
      </c>
      <c r="F887">
        <v>49</v>
      </c>
      <c r="G887">
        <v>12</v>
      </c>
      <c r="H887">
        <v>1</v>
      </c>
      <c r="I887">
        <v>1</v>
      </c>
      <c r="J887">
        <v>33.24942017</v>
      </c>
      <c r="K887">
        <v>23.772012709999998</v>
      </c>
      <c r="L887">
        <v>23.772012709999998</v>
      </c>
      <c r="M887">
        <v>3.1685090069999999</v>
      </c>
      <c r="N887">
        <v>1</v>
      </c>
      <c r="O887">
        <v>3.1685090069999999</v>
      </c>
    </row>
    <row r="888" spans="1:15">
      <c r="A888">
        <v>-0.109118902</v>
      </c>
      <c r="B888">
        <v>-7.9028673999999993E-2</v>
      </c>
      <c r="C888">
        <v>-5.4559451000000002E-2</v>
      </c>
      <c r="D888">
        <v>-0.13291852900000001</v>
      </c>
      <c r="E888">
        <v>5</v>
      </c>
      <c r="F888">
        <v>36</v>
      </c>
      <c r="G888">
        <v>12</v>
      </c>
      <c r="H888">
        <v>1</v>
      </c>
      <c r="I888">
        <v>1</v>
      </c>
      <c r="J888">
        <v>31.80497742</v>
      </c>
      <c r="K888">
        <v>19.545286180000002</v>
      </c>
      <c r="L888">
        <v>19.545286180000002</v>
      </c>
      <c r="M888">
        <v>2.9727342129999998</v>
      </c>
      <c r="N888">
        <v>1</v>
      </c>
      <c r="O888">
        <v>2.9727342129999998</v>
      </c>
    </row>
    <row r="889" spans="1:15">
      <c r="A889">
        <v>2.711431181</v>
      </c>
      <c r="B889">
        <v>1.658927888</v>
      </c>
      <c r="C889">
        <v>1.3557155910000001</v>
      </c>
      <c r="D889">
        <v>3.086222894</v>
      </c>
      <c r="E889">
        <v>6</v>
      </c>
      <c r="F889">
        <v>37</v>
      </c>
      <c r="G889">
        <v>12</v>
      </c>
      <c r="H889">
        <v>1</v>
      </c>
      <c r="I889">
        <v>2</v>
      </c>
      <c r="J889">
        <v>75.834671020000002</v>
      </c>
      <c r="K889">
        <v>36.668586730000001</v>
      </c>
      <c r="L889">
        <v>36.668586730000001</v>
      </c>
      <c r="M889">
        <v>3.6019203659999999</v>
      </c>
      <c r="N889">
        <v>1</v>
      </c>
      <c r="O889">
        <v>3.6019203659999999</v>
      </c>
    </row>
    <row r="890" spans="1:15">
      <c r="A890">
        <v>0.36591247900000001</v>
      </c>
      <c r="B890">
        <v>0.76478697699999998</v>
      </c>
      <c r="C890">
        <v>0.18295623899999999</v>
      </c>
      <c r="D890">
        <v>0.80085232699999997</v>
      </c>
      <c r="E890">
        <v>7</v>
      </c>
      <c r="F890">
        <v>48</v>
      </c>
      <c r="G890">
        <v>20</v>
      </c>
      <c r="H890">
        <v>1</v>
      </c>
      <c r="I890">
        <v>3</v>
      </c>
      <c r="J890">
        <v>63.810226440000001</v>
      </c>
      <c r="K890">
        <v>32.795475009999997</v>
      </c>
      <c r="L890">
        <v>32.795475009999997</v>
      </c>
      <c r="M890">
        <v>3.4902906420000002</v>
      </c>
      <c r="N890">
        <v>1</v>
      </c>
      <c r="O890">
        <v>3.4902906420000002</v>
      </c>
    </row>
    <row r="891" spans="1:15">
      <c r="A891">
        <v>0.68833046399999998</v>
      </c>
      <c r="B891">
        <v>1.253022517</v>
      </c>
      <c r="C891">
        <v>0.34416523199999999</v>
      </c>
      <c r="D891">
        <v>1.3745954789999999</v>
      </c>
      <c r="E891">
        <v>8</v>
      </c>
      <c r="F891">
        <v>42</v>
      </c>
      <c r="G891">
        <v>16</v>
      </c>
      <c r="H891">
        <v>1</v>
      </c>
      <c r="I891">
        <v>5</v>
      </c>
      <c r="J891">
        <v>75.29514313</v>
      </c>
      <c r="K891">
        <v>29.529983519999998</v>
      </c>
      <c r="L891">
        <v>29.529983519999998</v>
      </c>
      <c r="M891">
        <v>3.385406256</v>
      </c>
      <c r="N891">
        <v>1</v>
      </c>
      <c r="O891">
        <v>3.385406256</v>
      </c>
    </row>
    <row r="892" spans="1:15">
      <c r="A892">
        <v>0.1657286</v>
      </c>
      <c r="B892">
        <v>-7.8887654000000001E-2</v>
      </c>
      <c r="C892">
        <v>8.2864300000000002E-2</v>
      </c>
      <c r="D892">
        <v>6.0529805999999999E-2</v>
      </c>
      <c r="E892">
        <v>9</v>
      </c>
      <c r="F892">
        <v>42</v>
      </c>
      <c r="G892">
        <v>16</v>
      </c>
      <c r="H892">
        <v>1</v>
      </c>
      <c r="I892">
        <v>1</v>
      </c>
      <c r="J892">
        <v>39.526359560000003</v>
      </c>
      <c r="K892">
        <v>26.394371029999999</v>
      </c>
      <c r="L892">
        <v>26.394371029999999</v>
      </c>
      <c r="M892">
        <v>3.2731506819999998</v>
      </c>
      <c r="N892">
        <v>1</v>
      </c>
      <c r="O892">
        <v>3.2731506819999998</v>
      </c>
    </row>
    <row r="893" spans="1:15">
      <c r="A893">
        <v>-0.61126670800000005</v>
      </c>
      <c r="B893">
        <v>0.66145004799999996</v>
      </c>
      <c r="C893">
        <v>-0.30563335400000002</v>
      </c>
      <c r="D893">
        <v>4.0002817000000003E-2</v>
      </c>
      <c r="E893">
        <v>0</v>
      </c>
      <c r="F893">
        <v>23</v>
      </c>
      <c r="G893">
        <v>10</v>
      </c>
      <c r="H893">
        <v>0</v>
      </c>
      <c r="I893">
        <v>3</v>
      </c>
      <c r="J893">
        <v>32.180034640000002</v>
      </c>
      <c r="K893">
        <v>11.93239975</v>
      </c>
      <c r="L893">
        <v>11.93239975</v>
      </c>
      <c r="M893">
        <v>2.4792573450000002</v>
      </c>
      <c r="N893">
        <v>1</v>
      </c>
      <c r="O893">
        <v>2.4792573450000002</v>
      </c>
    </row>
    <row r="894" spans="1:15">
      <c r="A894">
        <v>0.23186991200000001</v>
      </c>
      <c r="B894">
        <v>-0.36811090200000002</v>
      </c>
      <c r="C894">
        <v>0.11593495600000001</v>
      </c>
      <c r="D894">
        <v>-9.8457744999999999E-2</v>
      </c>
      <c r="E894">
        <v>1</v>
      </c>
      <c r="F894">
        <v>42</v>
      </c>
      <c r="G894">
        <v>12</v>
      </c>
      <c r="H894">
        <v>0</v>
      </c>
      <c r="I894">
        <v>2</v>
      </c>
      <c r="J894">
        <v>34.618507389999998</v>
      </c>
      <c r="K894">
        <v>22.79121971</v>
      </c>
      <c r="L894">
        <v>22.79121971</v>
      </c>
      <c r="M894">
        <v>3.1263754370000001</v>
      </c>
      <c r="N894">
        <v>1</v>
      </c>
      <c r="O894">
        <v>3.1263754370000001</v>
      </c>
    </row>
    <row r="895" spans="1:15">
      <c r="A895">
        <v>0.58056198000000003</v>
      </c>
      <c r="B895">
        <v>0.18441850800000001</v>
      </c>
      <c r="C895">
        <v>0.29028099000000002</v>
      </c>
      <c r="D895">
        <v>0.53945448399999996</v>
      </c>
      <c r="E895">
        <v>2</v>
      </c>
      <c r="F895">
        <v>24</v>
      </c>
      <c r="G895">
        <v>10</v>
      </c>
      <c r="H895">
        <v>1</v>
      </c>
      <c r="I895">
        <v>4</v>
      </c>
      <c r="J895">
        <v>48.573452000000003</v>
      </c>
      <c r="K895">
        <v>19.28337097</v>
      </c>
      <c r="L895">
        <v>19.28337097</v>
      </c>
      <c r="M895">
        <v>2.9592430589999998</v>
      </c>
      <c r="N895">
        <v>1</v>
      </c>
      <c r="O895">
        <v>2.9592430589999998</v>
      </c>
    </row>
    <row r="896" spans="1:15">
      <c r="A896">
        <v>0.50184647699999996</v>
      </c>
      <c r="B896">
        <v>0.50073132799999998</v>
      </c>
      <c r="C896">
        <v>0.25092323799999999</v>
      </c>
      <c r="D896">
        <v>0.70884572400000001</v>
      </c>
      <c r="E896">
        <v>3</v>
      </c>
      <c r="F896">
        <v>26</v>
      </c>
      <c r="G896">
        <v>10</v>
      </c>
      <c r="H896">
        <v>0</v>
      </c>
      <c r="I896">
        <v>3</v>
      </c>
      <c r="J896">
        <v>41.406146999999997</v>
      </c>
      <c r="K896">
        <v>19.21107864</v>
      </c>
      <c r="L896">
        <v>19.21107864</v>
      </c>
      <c r="M896">
        <v>2.9554870129999999</v>
      </c>
      <c r="N896">
        <v>1</v>
      </c>
      <c r="O896">
        <v>2.9554870129999999</v>
      </c>
    </row>
    <row r="897" spans="1:15">
      <c r="A897">
        <v>1.7740041820000001</v>
      </c>
      <c r="B897">
        <v>2.7891091719999999</v>
      </c>
      <c r="C897">
        <v>0.88700209100000005</v>
      </c>
      <c r="D897">
        <v>3.2298514049999998</v>
      </c>
      <c r="E897">
        <v>4</v>
      </c>
      <c r="F897">
        <v>33</v>
      </c>
      <c r="G897">
        <v>10</v>
      </c>
      <c r="H897">
        <v>1</v>
      </c>
      <c r="I897">
        <v>1</v>
      </c>
      <c r="J897">
        <v>69.458213810000004</v>
      </c>
      <c r="K897">
        <v>28.244024280000001</v>
      </c>
      <c r="L897">
        <v>28.244024280000001</v>
      </c>
      <c r="M897">
        <v>3.3408818240000002</v>
      </c>
      <c r="N897">
        <v>1</v>
      </c>
      <c r="O897">
        <v>3.3408818240000002</v>
      </c>
    </row>
    <row r="898" spans="1:15">
      <c r="A898">
        <v>0.119425136</v>
      </c>
      <c r="B898">
        <v>1.074717833</v>
      </c>
      <c r="C898">
        <v>5.9712568000000001E-2</v>
      </c>
      <c r="D898">
        <v>0.84768550899999995</v>
      </c>
      <c r="E898">
        <v>5</v>
      </c>
      <c r="F898">
        <v>31</v>
      </c>
      <c r="G898">
        <v>20</v>
      </c>
      <c r="H898">
        <v>1</v>
      </c>
      <c r="I898">
        <v>0</v>
      </c>
      <c r="J898">
        <v>42.572227480000002</v>
      </c>
      <c r="K898">
        <v>27.916551590000001</v>
      </c>
      <c r="L898">
        <v>27.916551590000001</v>
      </c>
      <c r="M898">
        <v>3.3292198179999999</v>
      </c>
      <c r="N898">
        <v>1</v>
      </c>
      <c r="O898">
        <v>3.3292198179999999</v>
      </c>
    </row>
    <row r="899" spans="1:15">
      <c r="A899">
        <v>-0.70730309099999999</v>
      </c>
      <c r="B899">
        <v>-1.021371443</v>
      </c>
      <c r="C899">
        <v>-0.35365154500000001</v>
      </c>
      <c r="D899">
        <v>-1.2233356099999999</v>
      </c>
      <c r="E899">
        <v>6</v>
      </c>
      <c r="F899">
        <v>37</v>
      </c>
      <c r="G899">
        <v>10</v>
      </c>
      <c r="H899">
        <v>1</v>
      </c>
      <c r="I899">
        <v>0</v>
      </c>
      <c r="J899">
        <v>12.61997223</v>
      </c>
      <c r="K899">
        <v>14.15618134</v>
      </c>
      <c r="N899">
        <v>0</v>
      </c>
      <c r="O899">
        <v>0</v>
      </c>
    </row>
    <row r="900" spans="1:15">
      <c r="A900">
        <v>0.55117411999999999</v>
      </c>
      <c r="B900">
        <v>-1.4362177E-2</v>
      </c>
      <c r="C900">
        <v>0.27558705999999999</v>
      </c>
      <c r="D900">
        <v>0.37753130200000001</v>
      </c>
      <c r="E900">
        <v>7</v>
      </c>
      <c r="F900">
        <v>43</v>
      </c>
      <c r="G900">
        <v>12</v>
      </c>
      <c r="H900">
        <v>1</v>
      </c>
      <c r="I900">
        <v>2</v>
      </c>
      <c r="J900">
        <v>45.7303772</v>
      </c>
      <c r="K900">
        <v>24.907045360000001</v>
      </c>
      <c r="L900">
        <v>24.907045360000001</v>
      </c>
      <c r="M900">
        <v>3.2151505949999999</v>
      </c>
      <c r="N900">
        <v>1</v>
      </c>
      <c r="O900">
        <v>3.2151505949999999</v>
      </c>
    </row>
    <row r="901" spans="1:15">
      <c r="A901">
        <v>0.18709245899999999</v>
      </c>
      <c r="B901">
        <v>0.60584638000000002</v>
      </c>
      <c r="C901">
        <v>9.3546228999999995E-2</v>
      </c>
      <c r="D901">
        <v>0.56211704500000004</v>
      </c>
      <c r="E901">
        <v>8</v>
      </c>
      <c r="F901">
        <v>53</v>
      </c>
      <c r="G901">
        <v>16</v>
      </c>
      <c r="H901">
        <v>1</v>
      </c>
      <c r="I901">
        <v>2</v>
      </c>
      <c r="J901">
        <v>54.94540405</v>
      </c>
      <c r="K901">
        <v>28.722555159999999</v>
      </c>
      <c r="L901">
        <v>28.722555159999999</v>
      </c>
      <c r="M901">
        <v>3.3576827050000002</v>
      </c>
      <c r="N901">
        <v>1</v>
      </c>
      <c r="O901">
        <v>3.3576827050000002</v>
      </c>
    </row>
    <row r="902" spans="1:15">
      <c r="A902">
        <v>-1.937486641</v>
      </c>
      <c r="B902">
        <v>0.31692087499999999</v>
      </c>
      <c r="C902">
        <v>-0.96874332100000005</v>
      </c>
      <c r="D902">
        <v>-1.1377742420000001</v>
      </c>
      <c r="E902">
        <v>9</v>
      </c>
      <c r="F902">
        <v>40</v>
      </c>
      <c r="G902">
        <v>20</v>
      </c>
      <c r="H902">
        <v>1</v>
      </c>
      <c r="I902">
        <v>0</v>
      </c>
      <c r="J902">
        <v>22.3467083</v>
      </c>
      <c r="K902">
        <v>17.375080109999999</v>
      </c>
      <c r="N902">
        <v>0</v>
      </c>
      <c r="O902">
        <v>0</v>
      </c>
    </row>
    <row r="903" spans="1:15">
      <c r="A903">
        <v>-0.44835061300000001</v>
      </c>
      <c r="B903">
        <v>8.3381873999999995E-2</v>
      </c>
      <c r="C903">
        <v>-0.22417530699999999</v>
      </c>
      <c r="D903">
        <v>-0.25615359999999998</v>
      </c>
      <c r="E903">
        <v>0</v>
      </c>
      <c r="F903">
        <v>37</v>
      </c>
      <c r="G903">
        <v>10</v>
      </c>
      <c r="H903">
        <v>0</v>
      </c>
      <c r="I903">
        <v>2</v>
      </c>
      <c r="J903">
        <v>29.226156230000001</v>
      </c>
      <c r="K903">
        <v>15.709896090000001</v>
      </c>
      <c r="L903">
        <v>15.709896090000001</v>
      </c>
      <c r="M903">
        <v>2.7542908189999999</v>
      </c>
      <c r="N903">
        <v>1</v>
      </c>
      <c r="O903">
        <v>2.7542908189999999</v>
      </c>
    </row>
    <row r="904" spans="1:15">
      <c r="A904">
        <v>-0.78236950500000002</v>
      </c>
      <c r="B904">
        <v>-0.634291936</v>
      </c>
      <c r="C904">
        <v>-0.391184753</v>
      </c>
      <c r="D904">
        <v>-1.001091937</v>
      </c>
      <c r="E904">
        <v>1</v>
      </c>
      <c r="F904">
        <v>23</v>
      </c>
      <c r="G904">
        <v>10</v>
      </c>
      <c r="H904">
        <v>0</v>
      </c>
      <c r="I904">
        <v>0</v>
      </c>
      <c r="J904">
        <v>4.6868968009999996</v>
      </c>
      <c r="K904">
        <v>10.9057827</v>
      </c>
      <c r="N904">
        <v>0</v>
      </c>
      <c r="O904">
        <v>0</v>
      </c>
    </row>
    <row r="905" spans="1:15">
      <c r="A905">
        <v>-0.39525301299999999</v>
      </c>
      <c r="B905">
        <v>-0.36764397900000001</v>
      </c>
      <c r="C905">
        <v>-0.19762650600000001</v>
      </c>
      <c r="D905">
        <v>-0.53929076099999995</v>
      </c>
      <c r="E905">
        <v>2</v>
      </c>
      <c r="F905">
        <v>34</v>
      </c>
      <c r="G905">
        <v>16</v>
      </c>
      <c r="H905">
        <v>0</v>
      </c>
      <c r="I905">
        <v>0</v>
      </c>
      <c r="J905">
        <v>19.12851143</v>
      </c>
      <c r="K905">
        <v>21.42848206</v>
      </c>
      <c r="N905">
        <v>0</v>
      </c>
      <c r="O905">
        <v>0</v>
      </c>
    </row>
    <row r="906" spans="1:15">
      <c r="A906">
        <v>-0.89880968699999997</v>
      </c>
      <c r="B906">
        <v>1.483032066</v>
      </c>
      <c r="C906">
        <v>-0.449404843</v>
      </c>
      <c r="D906">
        <v>0.42152350500000002</v>
      </c>
      <c r="E906">
        <v>3</v>
      </c>
      <c r="F906">
        <v>51</v>
      </c>
      <c r="G906">
        <v>10</v>
      </c>
      <c r="H906">
        <v>1</v>
      </c>
      <c r="I906">
        <v>0</v>
      </c>
      <c r="J906">
        <v>37.95828247</v>
      </c>
      <c r="K906">
        <v>15.807142259999999</v>
      </c>
      <c r="L906">
        <v>15.807142259999999</v>
      </c>
      <c r="M906">
        <v>2.760461807</v>
      </c>
      <c r="N906">
        <v>1</v>
      </c>
      <c r="O906">
        <v>2.760461807</v>
      </c>
    </row>
    <row r="907" spans="1:15">
      <c r="A907">
        <v>1.2001312529999999</v>
      </c>
      <c r="B907">
        <v>-1.535154637</v>
      </c>
      <c r="C907">
        <v>0.60006562600000002</v>
      </c>
      <c r="D907">
        <v>-0.24658881199999999</v>
      </c>
      <c r="E907">
        <v>4</v>
      </c>
      <c r="F907">
        <v>40</v>
      </c>
      <c r="G907">
        <v>10</v>
      </c>
      <c r="H907">
        <v>0</v>
      </c>
      <c r="I907">
        <v>4</v>
      </c>
      <c r="J907">
        <v>40.540935519999998</v>
      </c>
      <c r="K907">
        <v>26.20078659</v>
      </c>
      <c r="L907">
        <v>26.20078659</v>
      </c>
      <c r="M907">
        <v>3.2657895090000002</v>
      </c>
      <c r="N907">
        <v>1</v>
      </c>
      <c r="O907">
        <v>3.2657895090000002</v>
      </c>
    </row>
    <row r="908" spans="1:15">
      <c r="A908">
        <v>0.53965832800000002</v>
      </c>
      <c r="B908">
        <v>1.297305736</v>
      </c>
      <c r="C908">
        <v>0.26982916400000001</v>
      </c>
      <c r="D908">
        <v>1.3014752350000001</v>
      </c>
      <c r="E908">
        <v>5</v>
      </c>
      <c r="F908">
        <v>32</v>
      </c>
      <c r="G908">
        <v>16</v>
      </c>
      <c r="H908">
        <v>1</v>
      </c>
      <c r="I908">
        <v>1</v>
      </c>
      <c r="J908">
        <v>50.417701719999997</v>
      </c>
      <c r="K908">
        <v>26.6379509</v>
      </c>
      <c r="L908">
        <v>26.6379509</v>
      </c>
      <c r="M908">
        <v>3.2823369499999999</v>
      </c>
      <c r="N908">
        <v>1</v>
      </c>
      <c r="O908">
        <v>3.2823369499999999</v>
      </c>
    </row>
    <row r="909" spans="1:15">
      <c r="A909">
        <v>-3.4477669000000002E-2</v>
      </c>
      <c r="B909">
        <v>0.42069709999999999</v>
      </c>
      <c r="C909">
        <v>-1.7238834000000001E-2</v>
      </c>
      <c r="D909">
        <v>0.27468479800000001</v>
      </c>
      <c r="E909">
        <v>6</v>
      </c>
      <c r="F909">
        <v>37</v>
      </c>
      <c r="G909">
        <v>16</v>
      </c>
      <c r="H909">
        <v>1</v>
      </c>
      <c r="I909">
        <v>1</v>
      </c>
      <c r="J909">
        <v>40.096218110000002</v>
      </c>
      <c r="K909">
        <v>24.193134310000001</v>
      </c>
      <c r="L909">
        <v>24.193134310000001</v>
      </c>
      <c r="M909">
        <v>3.1860687730000001</v>
      </c>
      <c r="N909">
        <v>1</v>
      </c>
      <c r="O909">
        <v>3.1860687730000001</v>
      </c>
    </row>
    <row r="910" spans="1:15">
      <c r="A910">
        <v>1.6976781510000001</v>
      </c>
      <c r="B910">
        <v>-1.675990702</v>
      </c>
      <c r="C910">
        <v>0.84883907599999997</v>
      </c>
      <c r="D910">
        <v>3.347306E-3</v>
      </c>
      <c r="E910">
        <v>7</v>
      </c>
      <c r="F910">
        <v>34</v>
      </c>
      <c r="G910">
        <v>12</v>
      </c>
      <c r="H910">
        <v>1</v>
      </c>
      <c r="I910">
        <v>1</v>
      </c>
      <c r="J910">
        <v>32.640167239999997</v>
      </c>
      <c r="K910">
        <v>29.98606873</v>
      </c>
      <c r="L910">
        <v>29.98606873</v>
      </c>
      <c r="M910">
        <v>3.4007329940000002</v>
      </c>
      <c r="N910">
        <v>1</v>
      </c>
      <c r="O910">
        <v>3.4007329940000002</v>
      </c>
    </row>
    <row r="911" spans="1:15">
      <c r="A911">
        <v>0.84234881399999995</v>
      </c>
      <c r="B911">
        <v>-1.06950696</v>
      </c>
      <c r="C911">
        <v>0.42117440699999997</v>
      </c>
      <c r="D911">
        <v>-0.16739960000000001</v>
      </c>
      <c r="E911">
        <v>8</v>
      </c>
      <c r="F911">
        <v>36</v>
      </c>
      <c r="G911">
        <v>16</v>
      </c>
      <c r="H911">
        <v>1</v>
      </c>
      <c r="I911">
        <v>1</v>
      </c>
      <c r="J911">
        <v>34.39120483</v>
      </c>
      <c r="K911">
        <v>29.254093170000001</v>
      </c>
      <c r="L911">
        <v>29.254093170000001</v>
      </c>
      <c r="M911">
        <v>3.3760194779999999</v>
      </c>
      <c r="N911">
        <v>1</v>
      </c>
      <c r="O911">
        <v>3.3760194779999999</v>
      </c>
    </row>
    <row r="912" spans="1:15">
      <c r="A912">
        <v>1.8721071739999999</v>
      </c>
      <c r="B912">
        <v>-0.213276825</v>
      </c>
      <c r="C912">
        <v>0.93605358699999996</v>
      </c>
      <c r="D912">
        <v>1.165428863</v>
      </c>
      <c r="E912">
        <v>9</v>
      </c>
      <c r="F912">
        <v>39</v>
      </c>
      <c r="G912">
        <v>12</v>
      </c>
      <c r="H912">
        <v>1</v>
      </c>
      <c r="I912">
        <v>5</v>
      </c>
      <c r="J912">
        <v>68.585144040000003</v>
      </c>
      <c r="K912">
        <v>32.032642359999997</v>
      </c>
      <c r="L912">
        <v>32.032642359999997</v>
      </c>
      <c r="M912">
        <v>3.4667553899999999</v>
      </c>
      <c r="N912">
        <v>1</v>
      </c>
      <c r="O912">
        <v>3.4667553899999999</v>
      </c>
    </row>
    <row r="913" spans="1:15">
      <c r="A913">
        <v>0.70394232599999995</v>
      </c>
      <c r="B913">
        <v>-0.70742477199999998</v>
      </c>
      <c r="C913">
        <v>0.35197116299999998</v>
      </c>
      <c r="D913">
        <v>-7.4766299999999997E-3</v>
      </c>
      <c r="E913">
        <v>0</v>
      </c>
      <c r="F913">
        <v>29</v>
      </c>
      <c r="G913">
        <v>10</v>
      </c>
      <c r="H913">
        <v>0</v>
      </c>
      <c r="I913">
        <v>0</v>
      </c>
      <c r="J913">
        <v>19.010280609999999</v>
      </c>
      <c r="K913">
        <v>21.023653029999998</v>
      </c>
      <c r="N913">
        <v>0</v>
      </c>
      <c r="O913">
        <v>0</v>
      </c>
    </row>
    <row r="914" spans="1:15">
      <c r="A914">
        <v>-0.96258519200000003</v>
      </c>
      <c r="B914">
        <v>0.39546382099999999</v>
      </c>
      <c r="C914">
        <v>-0.48129259600000002</v>
      </c>
      <c r="D914">
        <v>-0.39614516999999999</v>
      </c>
      <c r="E914">
        <v>1</v>
      </c>
      <c r="F914">
        <v>48</v>
      </c>
      <c r="G914">
        <v>12</v>
      </c>
      <c r="H914">
        <v>0</v>
      </c>
      <c r="I914">
        <v>2</v>
      </c>
      <c r="J914">
        <v>33.446258540000002</v>
      </c>
      <c r="K914">
        <v>16.824489589999999</v>
      </c>
      <c r="L914">
        <v>16.824489589999999</v>
      </c>
      <c r="M914">
        <v>2.8228354449999999</v>
      </c>
      <c r="N914">
        <v>1</v>
      </c>
      <c r="O914">
        <v>2.8228354449999999</v>
      </c>
    </row>
    <row r="915" spans="1:15">
      <c r="A915">
        <v>-2.7464283999999999E-2</v>
      </c>
      <c r="B915">
        <v>-0.67702258900000001</v>
      </c>
      <c r="C915">
        <v>-1.3732141999999999E-2</v>
      </c>
      <c r="D915">
        <v>-0.50039913199999997</v>
      </c>
      <c r="E915">
        <v>2</v>
      </c>
      <c r="F915">
        <v>24</v>
      </c>
      <c r="G915">
        <v>16</v>
      </c>
      <c r="H915">
        <v>0</v>
      </c>
      <c r="I915">
        <v>3</v>
      </c>
      <c r="J915">
        <v>30.595211030000002</v>
      </c>
      <c r="K915">
        <v>21.63521385</v>
      </c>
      <c r="L915">
        <v>21.63521385</v>
      </c>
      <c r="M915">
        <v>3.0743222239999999</v>
      </c>
      <c r="N915">
        <v>1</v>
      </c>
      <c r="O915">
        <v>3.0743222239999999</v>
      </c>
    </row>
    <row r="916" spans="1:15">
      <c r="A916">
        <v>-0.828565247</v>
      </c>
      <c r="B916">
        <v>0.243046547</v>
      </c>
      <c r="C916">
        <v>-0.41428262399999999</v>
      </c>
      <c r="D916">
        <v>-0.41017026400000001</v>
      </c>
      <c r="E916">
        <v>3</v>
      </c>
      <c r="F916">
        <v>32</v>
      </c>
      <c r="G916">
        <v>20</v>
      </c>
      <c r="H916">
        <v>1</v>
      </c>
      <c r="I916">
        <v>2</v>
      </c>
      <c r="J916">
        <v>37.877956390000001</v>
      </c>
      <c r="K916">
        <v>22.428607939999999</v>
      </c>
      <c r="L916">
        <v>22.428607939999999</v>
      </c>
      <c r="M916">
        <v>3.1103372569999999</v>
      </c>
      <c r="N916">
        <v>1</v>
      </c>
      <c r="O916">
        <v>3.1103372569999999</v>
      </c>
    </row>
    <row r="917" spans="1:15">
      <c r="A917">
        <v>0.875004157</v>
      </c>
      <c r="B917">
        <v>-1.378140645</v>
      </c>
      <c r="C917">
        <v>0.43750207800000002</v>
      </c>
      <c r="D917">
        <v>-0.36373633500000002</v>
      </c>
      <c r="E917">
        <v>4</v>
      </c>
      <c r="F917">
        <v>36</v>
      </c>
      <c r="G917">
        <v>16</v>
      </c>
      <c r="H917">
        <v>0</v>
      </c>
      <c r="I917">
        <v>2</v>
      </c>
      <c r="J917">
        <v>32.035163879999999</v>
      </c>
      <c r="K917">
        <v>29.45002556</v>
      </c>
      <c r="L917">
        <v>29.45002556</v>
      </c>
      <c r="M917">
        <v>3.382694721</v>
      </c>
      <c r="N917">
        <v>1</v>
      </c>
      <c r="O917">
        <v>3.382694721</v>
      </c>
    </row>
    <row r="918" spans="1:15">
      <c r="A918">
        <v>-1.1328333660000001</v>
      </c>
      <c r="B918">
        <v>0.10508229500000001</v>
      </c>
      <c r="C918">
        <v>-0.56641668300000003</v>
      </c>
      <c r="D918">
        <v>-0.72224967699999998</v>
      </c>
      <c r="E918">
        <v>5</v>
      </c>
      <c r="F918">
        <v>37</v>
      </c>
      <c r="G918">
        <v>12</v>
      </c>
      <c r="H918">
        <v>1</v>
      </c>
      <c r="I918">
        <v>1</v>
      </c>
      <c r="J918">
        <v>25.13300323</v>
      </c>
      <c r="K918">
        <v>13.602999690000001</v>
      </c>
      <c r="N918">
        <v>0</v>
      </c>
      <c r="O918">
        <v>0</v>
      </c>
    </row>
    <row r="919" spans="1:15">
      <c r="A919">
        <v>-0.309950165</v>
      </c>
      <c r="B919">
        <v>-1.1886191429999999</v>
      </c>
      <c r="C919">
        <v>-0.15497508199999999</v>
      </c>
      <c r="D919">
        <v>-1.0626509470000001</v>
      </c>
      <c r="E919">
        <v>6</v>
      </c>
      <c r="F919">
        <v>35</v>
      </c>
      <c r="G919">
        <v>12</v>
      </c>
      <c r="H919">
        <v>1</v>
      </c>
      <c r="I919">
        <v>0</v>
      </c>
      <c r="J919">
        <v>15.248188969999999</v>
      </c>
      <c r="K919">
        <v>18.14029884</v>
      </c>
      <c r="N919">
        <v>0</v>
      </c>
      <c r="O919">
        <v>0</v>
      </c>
    </row>
    <row r="920" spans="1:15">
      <c r="A920">
        <v>1.731754703</v>
      </c>
      <c r="B920">
        <v>-2.5275435129999999</v>
      </c>
      <c r="C920">
        <v>0.86587735200000004</v>
      </c>
      <c r="D920">
        <v>-0.57777712199999998</v>
      </c>
      <c r="E920">
        <v>7</v>
      </c>
      <c r="F920">
        <v>37</v>
      </c>
      <c r="G920">
        <v>16</v>
      </c>
      <c r="H920">
        <v>1</v>
      </c>
      <c r="I920">
        <v>0</v>
      </c>
      <c r="J920">
        <v>24.866674419999999</v>
      </c>
      <c r="K920">
        <v>34.790527339999997</v>
      </c>
      <c r="N920">
        <v>0</v>
      </c>
      <c r="O920">
        <v>0</v>
      </c>
    </row>
    <row r="921" spans="1:15">
      <c r="A921">
        <v>-1.0663207880000001</v>
      </c>
      <c r="B921">
        <v>0.88550050800000002</v>
      </c>
      <c r="C921">
        <v>-0.53316039400000004</v>
      </c>
      <c r="D921">
        <v>-0.120910214</v>
      </c>
      <c r="E921">
        <v>8</v>
      </c>
      <c r="F921">
        <v>39</v>
      </c>
      <c r="G921">
        <v>16</v>
      </c>
      <c r="H921">
        <v>1</v>
      </c>
      <c r="I921">
        <v>0</v>
      </c>
      <c r="J921">
        <v>31.149078370000002</v>
      </c>
      <c r="K921">
        <v>18.402074809999998</v>
      </c>
      <c r="L921">
        <v>18.402074809999998</v>
      </c>
      <c r="M921">
        <v>2.912463427</v>
      </c>
      <c r="N921">
        <v>1</v>
      </c>
      <c r="O921">
        <v>2.912463427</v>
      </c>
    </row>
    <row r="922" spans="1:15">
      <c r="A922">
        <v>-0.35900589799999999</v>
      </c>
      <c r="B922">
        <v>-0.66147805000000004</v>
      </c>
      <c r="C922">
        <v>-0.17950294899999999</v>
      </c>
      <c r="D922">
        <v>-0.72258446799999998</v>
      </c>
      <c r="E922">
        <v>9</v>
      </c>
      <c r="F922">
        <v>41</v>
      </c>
      <c r="G922">
        <v>12</v>
      </c>
      <c r="H922">
        <v>1</v>
      </c>
      <c r="I922">
        <v>2</v>
      </c>
      <c r="J922">
        <v>31.72898674</v>
      </c>
      <c r="K922">
        <v>19.04596519</v>
      </c>
      <c r="L922">
        <v>19.04596519</v>
      </c>
      <c r="M922">
        <v>2.9468553069999999</v>
      </c>
      <c r="N922">
        <v>1</v>
      </c>
      <c r="O922">
        <v>2.9468553069999999</v>
      </c>
    </row>
    <row r="923" spans="1:15">
      <c r="A923">
        <v>0.93347190599999996</v>
      </c>
      <c r="B923">
        <v>1.3751594620000001</v>
      </c>
      <c r="C923">
        <v>0.46673595299999998</v>
      </c>
      <c r="D923">
        <v>1.6338342320000001</v>
      </c>
      <c r="E923">
        <v>0</v>
      </c>
      <c r="F923">
        <v>21</v>
      </c>
      <c r="G923">
        <v>12</v>
      </c>
      <c r="H923">
        <v>0</v>
      </c>
      <c r="I923">
        <v>2</v>
      </c>
      <c r="J923">
        <v>47.006011960000002</v>
      </c>
      <c r="K923">
        <v>22.80083084</v>
      </c>
      <c r="L923">
        <v>22.80083084</v>
      </c>
      <c r="M923">
        <v>3.1267969610000002</v>
      </c>
      <c r="N923">
        <v>1</v>
      </c>
      <c r="O923">
        <v>3.1267969610000002</v>
      </c>
    </row>
    <row r="924" spans="1:15">
      <c r="A924">
        <v>-0.236962752</v>
      </c>
      <c r="B924">
        <v>0.216952437</v>
      </c>
      <c r="C924">
        <v>-0.118481376</v>
      </c>
      <c r="D924">
        <v>-1.253512E-2</v>
      </c>
      <c r="E924">
        <v>1</v>
      </c>
      <c r="F924">
        <v>33</v>
      </c>
      <c r="G924">
        <v>10</v>
      </c>
      <c r="H924">
        <v>0</v>
      </c>
      <c r="I924">
        <v>1</v>
      </c>
      <c r="J924">
        <v>25.549577710000001</v>
      </c>
      <c r="K924">
        <v>16.178222659999999</v>
      </c>
      <c r="N924">
        <v>0</v>
      </c>
      <c r="O924">
        <v>0</v>
      </c>
    </row>
    <row r="925" spans="1:15">
      <c r="A925">
        <v>0.85383956299999997</v>
      </c>
      <c r="B925">
        <v>0.22860148499999999</v>
      </c>
      <c r="C925">
        <v>0.42691978200000003</v>
      </c>
      <c r="D925">
        <v>0.76309375499999998</v>
      </c>
      <c r="E925">
        <v>2</v>
      </c>
      <c r="F925">
        <v>24</v>
      </c>
      <c r="G925">
        <v>16</v>
      </c>
      <c r="H925">
        <v>1</v>
      </c>
      <c r="I925">
        <v>1</v>
      </c>
      <c r="J925">
        <v>40.757125850000001</v>
      </c>
      <c r="K925">
        <v>26.923036580000002</v>
      </c>
      <c r="L925">
        <v>26.923036580000002</v>
      </c>
      <c r="M925">
        <v>3.29298234</v>
      </c>
      <c r="N925">
        <v>1</v>
      </c>
      <c r="O925">
        <v>3.29298234</v>
      </c>
    </row>
    <row r="926" spans="1:15">
      <c r="A926">
        <v>0.56127210000000005</v>
      </c>
      <c r="B926">
        <v>3.5486031000000001E-2</v>
      </c>
      <c r="C926">
        <v>0.28063605000000003</v>
      </c>
      <c r="D926">
        <v>0.42005610999999998</v>
      </c>
      <c r="E926">
        <v>3</v>
      </c>
      <c r="F926">
        <v>31</v>
      </c>
      <c r="G926">
        <v>10</v>
      </c>
      <c r="H926">
        <v>0</v>
      </c>
      <c r="I926">
        <v>1</v>
      </c>
      <c r="J926">
        <v>29.940673830000001</v>
      </c>
      <c r="K926">
        <v>20.567632679999999</v>
      </c>
      <c r="L926">
        <v>20.567632679999999</v>
      </c>
      <c r="M926">
        <v>3.0237185960000001</v>
      </c>
      <c r="N926">
        <v>1</v>
      </c>
      <c r="O926">
        <v>3.0237185960000001</v>
      </c>
    </row>
    <row r="927" spans="1:15">
      <c r="A927">
        <v>0.325624886</v>
      </c>
      <c r="B927">
        <v>1.832642739</v>
      </c>
      <c r="C927">
        <v>0.162812443</v>
      </c>
      <c r="D927">
        <v>1.531308001</v>
      </c>
      <c r="E927">
        <v>4</v>
      </c>
      <c r="F927">
        <v>30</v>
      </c>
      <c r="G927">
        <v>16</v>
      </c>
      <c r="H927">
        <v>1</v>
      </c>
      <c r="I927">
        <v>1</v>
      </c>
      <c r="J927">
        <v>52.375694269999997</v>
      </c>
      <c r="K927">
        <v>24.953748699999998</v>
      </c>
      <c r="L927">
        <v>24.953748699999998</v>
      </c>
      <c r="M927">
        <v>3.2170240880000001</v>
      </c>
      <c r="N927">
        <v>1</v>
      </c>
      <c r="O927">
        <v>3.2170240880000001</v>
      </c>
    </row>
    <row r="928" spans="1:15">
      <c r="A928">
        <v>-1.3146445899999999</v>
      </c>
      <c r="B928">
        <v>1.5577341440000001</v>
      </c>
      <c r="C928">
        <v>-0.65732229499999995</v>
      </c>
      <c r="D928">
        <v>0.182076179</v>
      </c>
      <c r="E928">
        <v>5</v>
      </c>
      <c r="F928">
        <v>33</v>
      </c>
      <c r="G928">
        <v>12</v>
      </c>
      <c r="H928">
        <v>1</v>
      </c>
      <c r="I928">
        <v>1</v>
      </c>
      <c r="J928">
        <v>34.3849144</v>
      </c>
      <c r="K928">
        <v>11.71213245</v>
      </c>
      <c r="L928">
        <v>11.71213245</v>
      </c>
      <c r="M928">
        <v>2.4606251719999999</v>
      </c>
      <c r="N928">
        <v>1</v>
      </c>
      <c r="O928">
        <v>2.4606251719999999</v>
      </c>
    </row>
    <row r="929" spans="1:15">
      <c r="A929">
        <v>1.043507161</v>
      </c>
      <c r="B929">
        <v>0.87007548499999998</v>
      </c>
      <c r="C929">
        <v>0.52175358100000002</v>
      </c>
      <c r="D929">
        <v>1.352338619</v>
      </c>
      <c r="E929">
        <v>6</v>
      </c>
      <c r="F929">
        <v>35</v>
      </c>
      <c r="G929">
        <v>16</v>
      </c>
      <c r="H929">
        <v>1</v>
      </c>
      <c r="I929">
        <v>2</v>
      </c>
      <c r="J929">
        <v>57.228061680000003</v>
      </c>
      <c r="K929">
        <v>30.26104355</v>
      </c>
      <c r="L929">
        <v>30.26104355</v>
      </c>
      <c r="M929">
        <v>3.409861088</v>
      </c>
      <c r="N929">
        <v>1</v>
      </c>
      <c r="O929">
        <v>3.409861088</v>
      </c>
    </row>
    <row r="930" spans="1:15">
      <c r="A930">
        <v>-1.412817864</v>
      </c>
      <c r="B930">
        <v>-1.2745322059999999</v>
      </c>
      <c r="C930">
        <v>-0.70640893199999999</v>
      </c>
      <c r="D930">
        <v>-1.899538033</v>
      </c>
      <c r="E930">
        <v>7</v>
      </c>
      <c r="F930">
        <v>40</v>
      </c>
      <c r="G930">
        <v>12</v>
      </c>
      <c r="H930">
        <v>1</v>
      </c>
      <c r="I930">
        <v>3</v>
      </c>
      <c r="J930">
        <v>22.205543519999999</v>
      </c>
      <c r="K930">
        <v>12.52309322</v>
      </c>
      <c r="N930">
        <v>0</v>
      </c>
      <c r="O930">
        <v>0</v>
      </c>
    </row>
    <row r="931" spans="1:15">
      <c r="A931">
        <v>0.17767148699999999</v>
      </c>
      <c r="B931">
        <v>0.26340319499999998</v>
      </c>
      <c r="C931">
        <v>8.8835742999999995E-2</v>
      </c>
      <c r="D931">
        <v>0.312156353</v>
      </c>
      <c r="E931">
        <v>8</v>
      </c>
      <c r="F931">
        <v>41</v>
      </c>
      <c r="G931">
        <v>12</v>
      </c>
      <c r="H931">
        <v>1</v>
      </c>
      <c r="I931">
        <v>1</v>
      </c>
      <c r="J931">
        <v>39.145877839999997</v>
      </c>
      <c r="K931">
        <v>22.266029360000001</v>
      </c>
      <c r="L931">
        <v>22.266029360000001</v>
      </c>
      <c r="M931">
        <v>3.1030621530000002</v>
      </c>
      <c r="N931">
        <v>1</v>
      </c>
      <c r="O931">
        <v>3.1030621530000002</v>
      </c>
    </row>
    <row r="932" spans="1:15">
      <c r="A932">
        <v>8.0273654999999999E-2</v>
      </c>
      <c r="B932">
        <v>-0.55288431999999998</v>
      </c>
      <c r="C932">
        <v>4.0136827E-2</v>
      </c>
      <c r="D932">
        <v>-0.33639809900000001</v>
      </c>
      <c r="E932">
        <v>9</v>
      </c>
      <c r="F932">
        <v>42</v>
      </c>
      <c r="G932">
        <v>16</v>
      </c>
      <c r="H932">
        <v>1</v>
      </c>
      <c r="I932">
        <v>4</v>
      </c>
      <c r="J932">
        <v>49.763221739999999</v>
      </c>
      <c r="K932">
        <v>25.881641389999999</v>
      </c>
      <c r="L932">
        <v>25.881641389999999</v>
      </c>
      <c r="M932">
        <v>3.2535338399999998</v>
      </c>
      <c r="N932">
        <v>1</v>
      </c>
      <c r="O932">
        <v>3.2535338399999998</v>
      </c>
    </row>
    <row r="933" spans="1:15">
      <c r="A933">
        <v>0.141936124</v>
      </c>
      <c r="B933">
        <v>-0.78679800200000005</v>
      </c>
      <c r="C933">
        <v>7.0968061999999998E-2</v>
      </c>
      <c r="D933">
        <v>-0.45923452799999998</v>
      </c>
      <c r="E933">
        <v>0</v>
      </c>
      <c r="F933">
        <v>47</v>
      </c>
      <c r="G933">
        <v>16</v>
      </c>
      <c r="H933">
        <v>0</v>
      </c>
      <c r="I933">
        <v>0</v>
      </c>
      <c r="J933">
        <v>25.289186480000001</v>
      </c>
      <c r="K933">
        <v>27.25161743</v>
      </c>
      <c r="N933">
        <v>0</v>
      </c>
      <c r="O933">
        <v>0</v>
      </c>
    </row>
    <row r="934" spans="1:15">
      <c r="A934">
        <v>0.79382149099999999</v>
      </c>
      <c r="B934">
        <v>-0.54459292199999998</v>
      </c>
      <c r="C934">
        <v>0.39691074500000001</v>
      </c>
      <c r="D934">
        <v>0.171456102</v>
      </c>
      <c r="E934">
        <v>1</v>
      </c>
      <c r="F934">
        <v>31</v>
      </c>
      <c r="G934">
        <v>10</v>
      </c>
      <c r="H934">
        <v>0</v>
      </c>
      <c r="I934">
        <v>3</v>
      </c>
      <c r="J934">
        <v>36.957473749999998</v>
      </c>
      <c r="K934">
        <v>21.962928770000001</v>
      </c>
      <c r="L934">
        <v>21.962928770000001</v>
      </c>
      <c r="M934">
        <v>3.089355946</v>
      </c>
      <c r="N934">
        <v>1</v>
      </c>
      <c r="O934">
        <v>3.089355946</v>
      </c>
    </row>
    <row r="935" spans="1:15">
      <c r="A935">
        <v>-0.33892197400000001</v>
      </c>
      <c r="B935">
        <v>-0.83719818000000001</v>
      </c>
      <c r="C935">
        <v>-0.16946098700000001</v>
      </c>
      <c r="D935">
        <v>-0.83331915599999995</v>
      </c>
      <c r="E935">
        <v>2</v>
      </c>
      <c r="F935">
        <v>26</v>
      </c>
      <c r="G935">
        <v>16</v>
      </c>
      <c r="H935">
        <v>0</v>
      </c>
      <c r="I935">
        <v>2</v>
      </c>
      <c r="J935">
        <v>22.40016937</v>
      </c>
      <c r="K935">
        <v>20.166467669999999</v>
      </c>
      <c r="N935">
        <v>0</v>
      </c>
      <c r="O935">
        <v>0</v>
      </c>
    </row>
    <row r="936" spans="1:15">
      <c r="A936">
        <v>-1.3224558209999999</v>
      </c>
      <c r="B936">
        <v>1.3530971789999999</v>
      </c>
      <c r="C936">
        <v>-0.66122791000000003</v>
      </c>
      <c r="D936">
        <v>3.1170243E-2</v>
      </c>
      <c r="E936">
        <v>3</v>
      </c>
      <c r="F936">
        <v>48</v>
      </c>
      <c r="G936">
        <v>12</v>
      </c>
      <c r="H936">
        <v>0</v>
      </c>
      <c r="I936">
        <v>3</v>
      </c>
      <c r="J936">
        <v>43.574043269999997</v>
      </c>
      <c r="K936">
        <v>14.665265079999999</v>
      </c>
      <c r="L936">
        <v>14.665265079999999</v>
      </c>
      <c r="M936">
        <v>2.6854817870000001</v>
      </c>
      <c r="N936">
        <v>1</v>
      </c>
      <c r="O936">
        <v>2.6854817870000001</v>
      </c>
    </row>
    <row r="937" spans="1:15">
      <c r="A937">
        <v>-0.59116190400000002</v>
      </c>
      <c r="B937">
        <v>-1.117385179</v>
      </c>
      <c r="C937">
        <v>-0.29558095200000001</v>
      </c>
      <c r="D937">
        <v>-1.2098587220000001</v>
      </c>
      <c r="E937">
        <v>4</v>
      </c>
      <c r="F937">
        <v>38</v>
      </c>
      <c r="G937">
        <v>16</v>
      </c>
      <c r="H937">
        <v>1</v>
      </c>
      <c r="I937">
        <v>1</v>
      </c>
      <c r="J937">
        <v>22.681695940000001</v>
      </c>
      <c r="K937">
        <v>21.05302811</v>
      </c>
      <c r="N937">
        <v>0</v>
      </c>
      <c r="O937">
        <v>0</v>
      </c>
    </row>
    <row r="938" spans="1:15">
      <c r="A938">
        <v>-0.17076404000000001</v>
      </c>
      <c r="B938">
        <v>-0.138070947</v>
      </c>
      <c r="C938">
        <v>-8.5382020000000003E-2</v>
      </c>
      <c r="D938">
        <v>-0.218238552</v>
      </c>
      <c r="E938">
        <v>5</v>
      </c>
      <c r="F938">
        <v>36</v>
      </c>
      <c r="G938">
        <v>10</v>
      </c>
      <c r="H938">
        <v>0</v>
      </c>
      <c r="I938">
        <v>3</v>
      </c>
      <c r="J938">
        <v>34.281135560000003</v>
      </c>
      <c r="K938">
        <v>17.175415040000001</v>
      </c>
      <c r="L938">
        <v>17.175415040000001</v>
      </c>
      <c r="M938">
        <v>2.8434789180000002</v>
      </c>
      <c r="N938">
        <v>1</v>
      </c>
      <c r="O938">
        <v>2.8434789180000002</v>
      </c>
    </row>
    <row r="939" spans="1:15">
      <c r="A939">
        <v>0.57726876000000005</v>
      </c>
      <c r="B939">
        <v>0.25817185100000001</v>
      </c>
      <c r="C939">
        <v>0.28863438000000002</v>
      </c>
      <c r="D939">
        <v>0.58954543999999998</v>
      </c>
      <c r="E939">
        <v>6</v>
      </c>
      <c r="F939">
        <v>43</v>
      </c>
      <c r="G939">
        <v>12</v>
      </c>
      <c r="H939">
        <v>1</v>
      </c>
      <c r="I939">
        <v>4</v>
      </c>
      <c r="J939">
        <v>58.27454376</v>
      </c>
      <c r="K939">
        <v>25.063611980000001</v>
      </c>
      <c r="L939">
        <v>25.063611980000001</v>
      </c>
      <c r="M939">
        <v>3.2214171889999998</v>
      </c>
      <c r="N939">
        <v>1</v>
      </c>
      <c r="O939">
        <v>3.2214171889999998</v>
      </c>
    </row>
    <row r="940" spans="1:15">
      <c r="A940">
        <v>1.1652888100000001</v>
      </c>
      <c r="B940">
        <v>-0.85055641999999998</v>
      </c>
      <c r="C940">
        <v>0.58264440500000003</v>
      </c>
      <c r="D940">
        <v>0.21536223500000001</v>
      </c>
      <c r="E940">
        <v>7</v>
      </c>
      <c r="F940">
        <v>35</v>
      </c>
      <c r="G940">
        <v>12</v>
      </c>
      <c r="H940">
        <v>1</v>
      </c>
      <c r="I940">
        <v>2</v>
      </c>
      <c r="J940">
        <v>40.584346770000003</v>
      </c>
      <c r="K940">
        <v>26.991733549999999</v>
      </c>
      <c r="L940">
        <v>26.991733549999999</v>
      </c>
      <c r="M940">
        <v>3.2955305579999998</v>
      </c>
      <c r="N940">
        <v>1</v>
      </c>
      <c r="O940">
        <v>3.2955305579999998</v>
      </c>
    </row>
    <row r="941" spans="1:15">
      <c r="A941">
        <v>0.29805085100000001</v>
      </c>
      <c r="B941">
        <v>1.1334453600000001</v>
      </c>
      <c r="C941">
        <v>0.14902542499999999</v>
      </c>
      <c r="D941">
        <v>1.0150746989999999</v>
      </c>
      <c r="E941">
        <v>8</v>
      </c>
      <c r="F941">
        <v>36</v>
      </c>
      <c r="G941">
        <v>16</v>
      </c>
      <c r="H941">
        <v>1</v>
      </c>
      <c r="I941">
        <v>5</v>
      </c>
      <c r="J941">
        <v>68.580894470000004</v>
      </c>
      <c r="K941">
        <v>25.988306049999998</v>
      </c>
      <c r="L941">
        <v>25.988306049999998</v>
      </c>
      <c r="M941">
        <v>3.2576465610000001</v>
      </c>
      <c r="N941">
        <v>1</v>
      </c>
      <c r="O941">
        <v>3.2576465610000001</v>
      </c>
    </row>
    <row r="942" spans="1:15">
      <c r="A942">
        <v>1.1494474109999999</v>
      </c>
      <c r="B942">
        <v>-0.20319664400000001</v>
      </c>
      <c r="C942">
        <v>0.57472370500000003</v>
      </c>
      <c r="D942">
        <v>0.66421913399999999</v>
      </c>
      <c r="E942">
        <v>9</v>
      </c>
      <c r="F942">
        <v>42</v>
      </c>
      <c r="G942">
        <v>12</v>
      </c>
      <c r="H942">
        <v>1</v>
      </c>
      <c r="I942">
        <v>4</v>
      </c>
      <c r="J942">
        <v>58.770629880000001</v>
      </c>
      <c r="K942">
        <v>28.29668427</v>
      </c>
      <c r="L942">
        <v>28.29668427</v>
      </c>
      <c r="M942">
        <v>3.342744589</v>
      </c>
      <c r="N942">
        <v>1</v>
      </c>
      <c r="O942">
        <v>3.342744589</v>
      </c>
    </row>
    <row r="943" spans="1:15">
      <c r="A943">
        <v>-1.2937711300000001</v>
      </c>
      <c r="B943">
        <v>1.389883142</v>
      </c>
      <c r="C943">
        <v>-0.64688556500000005</v>
      </c>
      <c r="D943">
        <v>7.7488553000000002E-2</v>
      </c>
      <c r="E943">
        <v>0</v>
      </c>
      <c r="F943">
        <v>24</v>
      </c>
      <c r="G943">
        <v>10</v>
      </c>
      <c r="H943">
        <v>1</v>
      </c>
      <c r="I943">
        <v>0</v>
      </c>
      <c r="J943">
        <v>23.02986336</v>
      </c>
      <c r="K943">
        <v>8.0373735429999993</v>
      </c>
      <c r="N943">
        <v>0</v>
      </c>
      <c r="O943">
        <v>0</v>
      </c>
    </row>
    <row r="944" spans="1:15">
      <c r="A944">
        <v>-1.1930148679999999</v>
      </c>
      <c r="B944">
        <v>0.34017303799999998</v>
      </c>
      <c r="C944">
        <v>-0.59650743399999995</v>
      </c>
      <c r="D944">
        <v>-0.59753502999999997</v>
      </c>
      <c r="E944">
        <v>1</v>
      </c>
      <c r="F944">
        <v>27</v>
      </c>
      <c r="G944">
        <v>10</v>
      </c>
      <c r="H944">
        <v>0</v>
      </c>
      <c r="I944">
        <v>1</v>
      </c>
      <c r="J944">
        <v>16.129579540000002</v>
      </c>
      <c r="K944">
        <v>9.2419109339999999</v>
      </c>
      <c r="N944">
        <v>0</v>
      </c>
      <c r="O944">
        <v>0</v>
      </c>
    </row>
    <row r="945" spans="1:15">
      <c r="A945">
        <v>0.65748827600000004</v>
      </c>
      <c r="B945">
        <v>-1.2039966440000001</v>
      </c>
      <c r="C945">
        <v>0.32874413800000002</v>
      </c>
      <c r="D945">
        <v>-0.39300990000000002</v>
      </c>
      <c r="E945">
        <v>2</v>
      </c>
      <c r="F945">
        <v>24</v>
      </c>
      <c r="G945">
        <v>12</v>
      </c>
      <c r="H945">
        <v>1</v>
      </c>
      <c r="I945">
        <v>0</v>
      </c>
      <c r="J945">
        <v>18.883880619999999</v>
      </c>
      <c r="K945">
        <v>21.744930270000001</v>
      </c>
      <c r="N945">
        <v>0</v>
      </c>
      <c r="O945">
        <v>0</v>
      </c>
    </row>
    <row r="946" spans="1:15">
      <c r="A946">
        <v>-0.45305782100000003</v>
      </c>
      <c r="B946">
        <v>-6.6999521000000006E-2</v>
      </c>
      <c r="C946">
        <v>-0.22652891</v>
      </c>
      <c r="D946">
        <v>-0.366323012</v>
      </c>
      <c r="E946">
        <v>3</v>
      </c>
      <c r="F946">
        <v>56</v>
      </c>
      <c r="G946">
        <v>12</v>
      </c>
      <c r="H946">
        <v>1</v>
      </c>
      <c r="I946">
        <v>4</v>
      </c>
      <c r="J946">
        <v>52.00412369</v>
      </c>
      <c r="K946">
        <v>21.481653210000001</v>
      </c>
      <c r="L946">
        <v>21.481653210000001</v>
      </c>
      <c r="M946">
        <v>3.0671992299999999</v>
      </c>
      <c r="N946">
        <v>1</v>
      </c>
      <c r="O946">
        <v>3.0671992299999999</v>
      </c>
    </row>
    <row r="947" spans="1:15">
      <c r="A947">
        <v>0.59974057300000005</v>
      </c>
      <c r="B947">
        <v>-0.87253463600000003</v>
      </c>
      <c r="C947">
        <v>0.29987028700000001</v>
      </c>
      <c r="D947">
        <v>-0.198103644</v>
      </c>
      <c r="E947">
        <v>4</v>
      </c>
      <c r="F947">
        <v>28</v>
      </c>
      <c r="G947">
        <v>12</v>
      </c>
      <c r="H947">
        <v>1</v>
      </c>
      <c r="I947">
        <v>0</v>
      </c>
      <c r="J947">
        <v>22.82275581</v>
      </c>
      <c r="K947">
        <v>22.198444370000001</v>
      </c>
      <c r="N947">
        <v>0</v>
      </c>
      <c r="O947">
        <v>0</v>
      </c>
    </row>
    <row r="948" spans="1:15">
      <c r="A948">
        <v>0.97038652800000003</v>
      </c>
      <c r="B948">
        <v>-0.22430344599999999</v>
      </c>
      <c r="C948">
        <v>0.48519326400000001</v>
      </c>
      <c r="D948">
        <v>0.52325635000000004</v>
      </c>
      <c r="E948">
        <v>5</v>
      </c>
      <c r="F948">
        <v>46</v>
      </c>
      <c r="G948">
        <v>16</v>
      </c>
      <c r="H948">
        <v>1</v>
      </c>
      <c r="I948">
        <v>1</v>
      </c>
      <c r="J948">
        <v>46.679077149999998</v>
      </c>
      <c r="K948">
        <v>32.022319789999997</v>
      </c>
      <c r="L948">
        <v>32.022319789999997</v>
      </c>
      <c r="M948">
        <v>3.4664330479999999</v>
      </c>
      <c r="N948">
        <v>1</v>
      </c>
      <c r="O948">
        <v>3.4664330479999999</v>
      </c>
    </row>
    <row r="949" spans="1:15">
      <c r="A949">
        <v>-0.67879375200000003</v>
      </c>
      <c r="B949">
        <v>1.4285390920000001</v>
      </c>
      <c r="C949">
        <v>-0.33939687600000001</v>
      </c>
      <c r="D949">
        <v>0.53757742200000003</v>
      </c>
      <c r="E949">
        <v>6</v>
      </c>
      <c r="F949">
        <v>35</v>
      </c>
      <c r="G949">
        <v>12</v>
      </c>
      <c r="H949">
        <v>1</v>
      </c>
      <c r="I949">
        <v>4</v>
      </c>
      <c r="J949">
        <v>54.450927729999997</v>
      </c>
      <c r="K949">
        <v>15.927237509999999</v>
      </c>
      <c r="L949">
        <v>15.927237509999999</v>
      </c>
      <c r="M949">
        <v>2.7680306429999999</v>
      </c>
      <c r="N949">
        <v>1</v>
      </c>
      <c r="O949">
        <v>2.7680306429999999</v>
      </c>
    </row>
    <row r="950" spans="1:15">
      <c r="A950">
        <v>-0.13840607399999999</v>
      </c>
      <c r="B950">
        <v>-0.22232252799999999</v>
      </c>
      <c r="C950">
        <v>-6.9203036999999995E-2</v>
      </c>
      <c r="D950">
        <v>-0.25534304699999999</v>
      </c>
      <c r="E950">
        <v>7</v>
      </c>
      <c r="F950">
        <v>34</v>
      </c>
      <c r="G950">
        <v>20</v>
      </c>
      <c r="H950">
        <v>1</v>
      </c>
      <c r="I950">
        <v>1</v>
      </c>
      <c r="J950">
        <v>35.535884860000003</v>
      </c>
      <c r="K950">
        <v>26.969564439999999</v>
      </c>
      <c r="L950">
        <v>26.969564439999999</v>
      </c>
      <c r="M950">
        <v>3.294708967</v>
      </c>
      <c r="N950">
        <v>1</v>
      </c>
      <c r="O950">
        <v>3.294708967</v>
      </c>
    </row>
    <row r="951" spans="1:15">
      <c r="A951">
        <v>0.84247592199999999</v>
      </c>
      <c r="B951">
        <v>0.75954263200000005</v>
      </c>
      <c r="C951">
        <v>0.42123796099999999</v>
      </c>
      <c r="D951">
        <v>1.1323758909999999</v>
      </c>
      <c r="E951">
        <v>8</v>
      </c>
      <c r="F951">
        <v>36</v>
      </c>
      <c r="G951">
        <v>16</v>
      </c>
      <c r="H951">
        <v>1</v>
      </c>
      <c r="I951">
        <v>2</v>
      </c>
      <c r="J951">
        <v>54.988510130000002</v>
      </c>
      <c r="K951">
        <v>29.254856109999999</v>
      </c>
      <c r="L951">
        <v>29.254856109999999</v>
      </c>
      <c r="M951">
        <v>3.3760454649999998</v>
      </c>
      <c r="N951">
        <v>1</v>
      </c>
      <c r="O951">
        <v>3.3760454649999998</v>
      </c>
    </row>
    <row r="952" spans="1:15">
      <c r="A952">
        <v>-0.37853130699999998</v>
      </c>
      <c r="B952">
        <v>-0.21121416800000001</v>
      </c>
      <c r="C952">
        <v>-0.18926565400000001</v>
      </c>
      <c r="D952">
        <v>-0.41637157600000002</v>
      </c>
      <c r="E952">
        <v>9</v>
      </c>
      <c r="F952">
        <v>42</v>
      </c>
      <c r="G952">
        <v>20</v>
      </c>
      <c r="H952">
        <v>1</v>
      </c>
      <c r="I952">
        <v>0</v>
      </c>
      <c r="J952">
        <v>31.80354118</v>
      </c>
      <c r="K952">
        <v>27.128812790000001</v>
      </c>
      <c r="L952">
        <v>27.128812790000001</v>
      </c>
      <c r="M952">
        <v>3.3005964759999999</v>
      </c>
      <c r="N952">
        <v>1</v>
      </c>
      <c r="O952">
        <v>3.3005964759999999</v>
      </c>
    </row>
    <row r="953" spans="1:15">
      <c r="A953">
        <v>0.84655159700000004</v>
      </c>
      <c r="B953">
        <v>0.38513372400000001</v>
      </c>
      <c r="C953">
        <v>0.42327579799999998</v>
      </c>
      <c r="D953">
        <v>0.86919553800000005</v>
      </c>
      <c r="E953">
        <v>0</v>
      </c>
      <c r="F953">
        <v>45</v>
      </c>
      <c r="G953">
        <v>10</v>
      </c>
      <c r="H953">
        <v>0</v>
      </c>
      <c r="I953">
        <v>3</v>
      </c>
      <c r="J953">
        <v>50.930347439999998</v>
      </c>
      <c r="K953">
        <v>25.079309460000001</v>
      </c>
      <c r="L953">
        <v>25.079309460000001</v>
      </c>
      <c r="M953">
        <v>3.222043276</v>
      </c>
      <c r="N953">
        <v>1</v>
      </c>
      <c r="O953">
        <v>3.222043276</v>
      </c>
    </row>
    <row r="954" spans="1:15">
      <c r="A954">
        <v>0.95284861499999995</v>
      </c>
      <c r="B954">
        <v>1.948793776</v>
      </c>
      <c r="C954">
        <v>0.47642430800000002</v>
      </c>
      <c r="D954">
        <v>2.055078322</v>
      </c>
      <c r="E954">
        <v>1</v>
      </c>
      <c r="F954">
        <v>26</v>
      </c>
      <c r="G954">
        <v>10</v>
      </c>
      <c r="H954">
        <v>1</v>
      </c>
      <c r="I954">
        <v>1</v>
      </c>
      <c r="J954">
        <v>52.560939789999999</v>
      </c>
      <c r="K954">
        <v>21.917091370000001</v>
      </c>
      <c r="L954">
        <v>21.917091370000001</v>
      </c>
      <c r="M954">
        <v>3.0872666839999998</v>
      </c>
      <c r="N954">
        <v>1</v>
      </c>
      <c r="O954">
        <v>3.0872666839999998</v>
      </c>
    </row>
    <row r="955" spans="1:15">
      <c r="A955">
        <v>-0.23542571900000001</v>
      </c>
      <c r="B955">
        <v>2.1968492990000001</v>
      </c>
      <c r="C955">
        <v>-0.11771286</v>
      </c>
      <c r="D955">
        <v>1.395421271</v>
      </c>
      <c r="E955">
        <v>2</v>
      </c>
      <c r="F955">
        <v>37</v>
      </c>
      <c r="G955">
        <v>16</v>
      </c>
      <c r="H955">
        <v>0</v>
      </c>
      <c r="I955">
        <v>3</v>
      </c>
      <c r="J955">
        <v>58.545055390000002</v>
      </c>
      <c r="K955">
        <v>22.987445829999999</v>
      </c>
      <c r="L955">
        <v>22.987445829999999</v>
      </c>
      <c r="M955">
        <v>3.1349482540000002</v>
      </c>
      <c r="N955">
        <v>1</v>
      </c>
      <c r="O955">
        <v>3.1349482540000002</v>
      </c>
    </row>
    <row r="956" spans="1:15">
      <c r="A956">
        <v>-0.84871411299999999</v>
      </c>
      <c r="B956">
        <v>-0.37216874900000002</v>
      </c>
      <c r="C956">
        <v>-0.42435705699999998</v>
      </c>
      <c r="D956">
        <v>-0.86150416100000005</v>
      </c>
      <c r="E956">
        <v>3</v>
      </c>
      <c r="F956">
        <v>30</v>
      </c>
      <c r="G956">
        <v>16</v>
      </c>
      <c r="H956">
        <v>1</v>
      </c>
      <c r="I956">
        <v>3</v>
      </c>
      <c r="J956">
        <v>33.661949159999999</v>
      </c>
      <c r="K956">
        <v>17.907714840000001</v>
      </c>
      <c r="L956">
        <v>17.907714840000001</v>
      </c>
      <c r="M956">
        <v>2.8852317329999999</v>
      </c>
      <c r="N956">
        <v>1</v>
      </c>
      <c r="O956">
        <v>2.8852317329999999</v>
      </c>
    </row>
    <row r="957" spans="1:15">
      <c r="A957">
        <v>-0.436881358</v>
      </c>
      <c r="B957">
        <v>0.23006262799999999</v>
      </c>
      <c r="C957">
        <v>-0.218440679</v>
      </c>
      <c r="D957">
        <v>-0.143856863</v>
      </c>
      <c r="E957">
        <v>4</v>
      </c>
      <c r="F957">
        <v>28</v>
      </c>
      <c r="G957">
        <v>10</v>
      </c>
      <c r="H957">
        <v>1</v>
      </c>
      <c r="I957">
        <v>3</v>
      </c>
      <c r="J957">
        <v>36.97371674</v>
      </c>
      <c r="K957">
        <v>13.978712079999999</v>
      </c>
      <c r="L957">
        <v>13.978712079999999</v>
      </c>
      <c r="M957">
        <v>2.637535572</v>
      </c>
      <c r="N957">
        <v>1</v>
      </c>
      <c r="O957">
        <v>2.637535572</v>
      </c>
    </row>
    <row r="958" spans="1:15">
      <c r="A958">
        <v>0.693362013</v>
      </c>
      <c r="B958">
        <v>0.58403583699999995</v>
      </c>
      <c r="C958">
        <v>0.34668100600000001</v>
      </c>
      <c r="D958">
        <v>0.90276648299999995</v>
      </c>
      <c r="E958">
        <v>5</v>
      </c>
      <c r="F958">
        <v>34</v>
      </c>
      <c r="G958">
        <v>10</v>
      </c>
      <c r="H958">
        <v>1</v>
      </c>
      <c r="I958">
        <v>4</v>
      </c>
      <c r="J958">
        <v>56.933197020000001</v>
      </c>
      <c r="K958">
        <v>21.960172650000001</v>
      </c>
      <c r="L958">
        <v>21.960172650000001</v>
      </c>
      <c r="M958">
        <v>3.0892305370000002</v>
      </c>
      <c r="N958">
        <v>1</v>
      </c>
      <c r="O958">
        <v>3.0892305370000002</v>
      </c>
    </row>
    <row r="959" spans="1:15">
      <c r="A959">
        <v>-2.286076558</v>
      </c>
      <c r="B959">
        <v>-1.966851957</v>
      </c>
      <c r="C959">
        <v>-1.143038279</v>
      </c>
      <c r="D959">
        <v>-3.0058015760000001</v>
      </c>
      <c r="E959">
        <v>6</v>
      </c>
      <c r="F959">
        <v>51</v>
      </c>
      <c r="G959">
        <v>16</v>
      </c>
      <c r="H959">
        <v>1</v>
      </c>
      <c r="I959">
        <v>3</v>
      </c>
      <c r="J959">
        <v>16.330381389999999</v>
      </c>
      <c r="K959">
        <v>13.483540530000001</v>
      </c>
      <c r="N959">
        <v>0</v>
      </c>
      <c r="O959">
        <v>0</v>
      </c>
    </row>
    <row r="960" spans="1:15">
      <c r="A960">
        <v>-0.141973029</v>
      </c>
      <c r="B960">
        <v>-4.5709610999999997E-2</v>
      </c>
      <c r="C960">
        <v>-7.0986515E-2</v>
      </c>
      <c r="D960">
        <v>-0.13235469999999999</v>
      </c>
      <c r="E960">
        <v>7</v>
      </c>
      <c r="F960">
        <v>43</v>
      </c>
      <c r="G960">
        <v>12</v>
      </c>
      <c r="H960">
        <v>0</v>
      </c>
      <c r="I960">
        <v>4</v>
      </c>
      <c r="J960">
        <v>44.611743930000003</v>
      </c>
      <c r="K960">
        <v>20.748161320000001</v>
      </c>
      <c r="L960">
        <v>20.748161320000001</v>
      </c>
      <c r="M960">
        <v>3.0324575899999999</v>
      </c>
      <c r="N960">
        <v>1</v>
      </c>
      <c r="O960">
        <v>3.0324575899999999</v>
      </c>
    </row>
    <row r="961" spans="1:15">
      <c r="A961">
        <v>-1.003226403</v>
      </c>
      <c r="B961">
        <v>1.0083289580000001</v>
      </c>
      <c r="C961">
        <v>-0.50161320200000004</v>
      </c>
      <c r="D961">
        <v>1.0754499000000001E-2</v>
      </c>
      <c r="E961">
        <v>8</v>
      </c>
      <c r="F961">
        <v>36</v>
      </c>
      <c r="G961">
        <v>12</v>
      </c>
      <c r="H961">
        <v>1</v>
      </c>
      <c r="I961">
        <v>1</v>
      </c>
      <c r="J961">
        <v>33.529052729999997</v>
      </c>
      <c r="K961">
        <v>14.180641169999999</v>
      </c>
      <c r="L961">
        <v>14.180641169999999</v>
      </c>
      <c r="M961">
        <v>2.6518776420000001</v>
      </c>
      <c r="N961">
        <v>1</v>
      </c>
      <c r="O961">
        <v>2.6518776420000001</v>
      </c>
    </row>
    <row r="962" spans="1:15">
      <c r="A962">
        <v>-4.6600031E-2</v>
      </c>
      <c r="B962">
        <v>-0.74726108000000002</v>
      </c>
      <c r="C962">
        <v>-2.3300015E-2</v>
      </c>
      <c r="D962">
        <v>-0.56377070399999996</v>
      </c>
      <c r="E962">
        <v>9</v>
      </c>
      <c r="F962">
        <v>38</v>
      </c>
      <c r="G962">
        <v>16</v>
      </c>
      <c r="H962">
        <v>1</v>
      </c>
      <c r="I962">
        <v>1</v>
      </c>
      <c r="J962">
        <v>30.434751510000002</v>
      </c>
      <c r="K962">
        <v>24.320400240000001</v>
      </c>
      <c r="L962">
        <v>24.320400240000001</v>
      </c>
      <c r="M962">
        <v>3.1913154129999999</v>
      </c>
      <c r="N962">
        <v>1</v>
      </c>
      <c r="O962">
        <v>3.1913154129999999</v>
      </c>
    </row>
    <row r="963" spans="1:15">
      <c r="A963">
        <v>0.60610454999999996</v>
      </c>
      <c r="B963">
        <v>0.73961462700000002</v>
      </c>
      <c r="C963">
        <v>0.30305227499999998</v>
      </c>
      <c r="D963">
        <v>0.95193428599999996</v>
      </c>
      <c r="E963">
        <v>0</v>
      </c>
      <c r="F963">
        <v>21</v>
      </c>
      <c r="G963">
        <v>10</v>
      </c>
      <c r="H963">
        <v>1</v>
      </c>
      <c r="I963">
        <v>0</v>
      </c>
      <c r="J963">
        <v>32.323211669999999</v>
      </c>
      <c r="K963">
        <v>18.836627960000001</v>
      </c>
      <c r="L963">
        <v>18.836627960000001</v>
      </c>
      <c r="M963">
        <v>2.9358031750000002</v>
      </c>
      <c r="N963">
        <v>1</v>
      </c>
      <c r="O963">
        <v>2.9358031750000002</v>
      </c>
    </row>
    <row r="964" spans="1:15">
      <c r="A964">
        <v>-0.36723577499999999</v>
      </c>
      <c r="B964">
        <v>-0.150470353</v>
      </c>
      <c r="C964">
        <v>-0.18361788800000001</v>
      </c>
      <c r="D964">
        <v>-0.365262121</v>
      </c>
      <c r="E964">
        <v>1</v>
      </c>
      <c r="F964">
        <v>29</v>
      </c>
      <c r="G964">
        <v>16</v>
      </c>
      <c r="H964">
        <v>0</v>
      </c>
      <c r="I964">
        <v>3</v>
      </c>
      <c r="J964">
        <v>34.216854099999999</v>
      </c>
      <c r="K964">
        <v>20.59658623</v>
      </c>
      <c r="L964">
        <v>20.59658623</v>
      </c>
      <c r="M964">
        <v>3.0251252649999998</v>
      </c>
      <c r="N964">
        <v>1</v>
      </c>
      <c r="O964">
        <v>3.0251252649999998</v>
      </c>
    </row>
    <row r="965" spans="1:15">
      <c r="A965">
        <v>0.98794166400000005</v>
      </c>
      <c r="B965">
        <v>-0.62975235200000002</v>
      </c>
      <c r="C965">
        <v>0.49397083200000003</v>
      </c>
      <c r="D965">
        <v>0.247502048</v>
      </c>
      <c r="E965">
        <v>2</v>
      </c>
      <c r="F965">
        <v>45</v>
      </c>
      <c r="G965">
        <v>12</v>
      </c>
      <c r="H965">
        <v>1</v>
      </c>
      <c r="I965">
        <v>0</v>
      </c>
      <c r="J965">
        <v>34.970024109999997</v>
      </c>
      <c r="K965">
        <v>27.927650450000002</v>
      </c>
      <c r="L965">
        <v>27.927650450000002</v>
      </c>
      <c r="M965">
        <v>3.3296172620000002</v>
      </c>
      <c r="N965">
        <v>1</v>
      </c>
      <c r="O965">
        <v>3.3296172620000002</v>
      </c>
    </row>
    <row r="966" spans="1:15">
      <c r="A966">
        <v>-0.96903464699999997</v>
      </c>
      <c r="B966">
        <v>-0.85907777100000005</v>
      </c>
      <c r="C966">
        <v>-0.484517323</v>
      </c>
      <c r="D966">
        <v>-1.2921343700000001</v>
      </c>
      <c r="E966">
        <v>3</v>
      </c>
      <c r="F966">
        <v>28</v>
      </c>
      <c r="G966">
        <v>10</v>
      </c>
      <c r="H966">
        <v>1</v>
      </c>
      <c r="I966">
        <v>0</v>
      </c>
      <c r="J966">
        <v>8.1943874359999995</v>
      </c>
      <c r="K966">
        <v>10.785792349999999</v>
      </c>
      <c r="N966">
        <v>0</v>
      </c>
      <c r="O966">
        <v>0</v>
      </c>
    </row>
    <row r="967" spans="1:15">
      <c r="A967">
        <v>-0.19333662500000001</v>
      </c>
      <c r="B967">
        <v>-0.88564901100000004</v>
      </c>
      <c r="C967">
        <v>-9.6668312000000006E-2</v>
      </c>
      <c r="D967">
        <v>-0.76533180999999995</v>
      </c>
      <c r="E967">
        <v>4</v>
      </c>
      <c r="F967">
        <v>30</v>
      </c>
      <c r="G967">
        <v>16</v>
      </c>
      <c r="H967">
        <v>1</v>
      </c>
      <c r="I967">
        <v>4</v>
      </c>
      <c r="J967">
        <v>39.81601715</v>
      </c>
      <c r="K967">
        <v>21.839981080000001</v>
      </c>
      <c r="L967">
        <v>21.839981080000001</v>
      </c>
      <c r="M967">
        <v>3.0837423799999999</v>
      </c>
      <c r="N967">
        <v>1</v>
      </c>
      <c r="O967">
        <v>3.0837423799999999</v>
      </c>
    </row>
    <row r="968" spans="1:15">
      <c r="A968">
        <v>0.76816193700000002</v>
      </c>
      <c r="B968">
        <v>0.99427499399999997</v>
      </c>
      <c r="C968">
        <v>0.38408096899999999</v>
      </c>
      <c r="D968">
        <v>1.246894044</v>
      </c>
      <c r="E968">
        <v>5</v>
      </c>
      <c r="F968">
        <v>33</v>
      </c>
      <c r="G968">
        <v>10</v>
      </c>
      <c r="H968">
        <v>1</v>
      </c>
      <c r="I968">
        <v>4</v>
      </c>
      <c r="J968">
        <v>60.662727359999998</v>
      </c>
      <c r="K968">
        <v>22.20897102</v>
      </c>
      <c r="L968">
        <v>22.20897102</v>
      </c>
      <c r="M968">
        <v>3.1004962919999999</v>
      </c>
      <c r="N968">
        <v>1</v>
      </c>
      <c r="O968">
        <v>3.1004962919999999</v>
      </c>
    </row>
    <row r="969" spans="1:15">
      <c r="A969">
        <v>-0.13200453700000001</v>
      </c>
      <c r="B969">
        <v>-1.2159514490000001</v>
      </c>
      <c r="C969">
        <v>-6.6002268000000003E-2</v>
      </c>
      <c r="D969">
        <v>-0.95689257699999997</v>
      </c>
      <c r="E969">
        <v>6</v>
      </c>
      <c r="F969">
        <v>38</v>
      </c>
      <c r="G969">
        <v>16</v>
      </c>
      <c r="H969">
        <v>1</v>
      </c>
      <c r="I969">
        <v>0</v>
      </c>
      <c r="J969">
        <v>20.717288969999998</v>
      </c>
      <c r="K969">
        <v>23.807971949999999</v>
      </c>
      <c r="N969">
        <v>0</v>
      </c>
      <c r="O969">
        <v>0</v>
      </c>
    </row>
    <row r="970" spans="1:15">
      <c r="A970">
        <v>-0.55246506799999995</v>
      </c>
      <c r="B970">
        <v>-0.684423589</v>
      </c>
      <c r="C970">
        <v>-0.27623253399999997</v>
      </c>
      <c r="D970">
        <v>-0.87498264599999998</v>
      </c>
      <c r="E970">
        <v>7</v>
      </c>
      <c r="F970">
        <v>38</v>
      </c>
      <c r="G970">
        <v>12</v>
      </c>
      <c r="H970">
        <v>1</v>
      </c>
      <c r="I970">
        <v>1</v>
      </c>
      <c r="J970">
        <v>23.700208660000001</v>
      </c>
      <c r="K970">
        <v>17.28520966</v>
      </c>
      <c r="N970">
        <v>0</v>
      </c>
      <c r="O970">
        <v>0</v>
      </c>
    </row>
    <row r="971" spans="1:15">
      <c r="A971">
        <v>-0.86859826500000004</v>
      </c>
      <c r="B971">
        <v>0.85448144699999995</v>
      </c>
      <c r="C971">
        <v>-0.434299133</v>
      </c>
      <c r="D971">
        <v>-3.8590429999999999E-3</v>
      </c>
      <c r="E971">
        <v>8</v>
      </c>
      <c r="F971">
        <v>36</v>
      </c>
      <c r="G971">
        <v>16</v>
      </c>
      <c r="H971">
        <v>1</v>
      </c>
      <c r="I971">
        <v>3</v>
      </c>
      <c r="J971">
        <v>46.353691099999999</v>
      </c>
      <c r="K971">
        <v>18.988410949999999</v>
      </c>
      <c r="L971">
        <v>18.988410949999999</v>
      </c>
      <c r="M971">
        <v>2.9438288209999999</v>
      </c>
      <c r="N971">
        <v>1</v>
      </c>
      <c r="O971">
        <v>2.9438288209999999</v>
      </c>
    </row>
    <row r="972" spans="1:15">
      <c r="A972">
        <v>-1.377180021</v>
      </c>
      <c r="B972">
        <v>-1.063207513</v>
      </c>
      <c r="C972">
        <v>-0.68859000999999997</v>
      </c>
      <c r="D972">
        <v>-1.724304627</v>
      </c>
      <c r="E972">
        <v>9</v>
      </c>
      <c r="F972">
        <v>49</v>
      </c>
      <c r="G972">
        <v>16</v>
      </c>
      <c r="H972">
        <v>1</v>
      </c>
      <c r="I972">
        <v>1</v>
      </c>
      <c r="J972">
        <v>20.908344270000001</v>
      </c>
      <c r="K972">
        <v>18.536920550000001</v>
      </c>
      <c r="N972">
        <v>0</v>
      </c>
      <c r="O972">
        <v>0</v>
      </c>
    </row>
    <row r="973" spans="1:15">
      <c r="A973">
        <v>1.33957141</v>
      </c>
      <c r="B973">
        <v>1.0161301679999999</v>
      </c>
      <c r="C973">
        <v>0.66978570500000001</v>
      </c>
      <c r="D973">
        <v>1.6643957190000001</v>
      </c>
      <c r="E973">
        <v>0</v>
      </c>
      <c r="F973">
        <v>43</v>
      </c>
      <c r="G973">
        <v>10</v>
      </c>
      <c r="H973">
        <v>1</v>
      </c>
      <c r="I973">
        <v>1</v>
      </c>
      <c r="J973">
        <v>54.672748570000003</v>
      </c>
      <c r="K973">
        <v>27.637428280000002</v>
      </c>
      <c r="L973">
        <v>27.637428280000002</v>
      </c>
      <c r="M973">
        <v>3.3191709519999999</v>
      </c>
      <c r="N973">
        <v>1</v>
      </c>
      <c r="O973">
        <v>3.3191709519999999</v>
      </c>
    </row>
    <row r="974" spans="1:15">
      <c r="A974">
        <v>1.0042749099999999</v>
      </c>
      <c r="B974">
        <v>-4.5167667000000002E-2</v>
      </c>
      <c r="C974">
        <v>0.50213745499999995</v>
      </c>
      <c r="D974">
        <v>0.67438625600000002</v>
      </c>
      <c r="E974">
        <v>1</v>
      </c>
      <c r="F974">
        <v>22</v>
      </c>
      <c r="G974">
        <v>10</v>
      </c>
      <c r="H974">
        <v>0</v>
      </c>
      <c r="I974">
        <v>0</v>
      </c>
      <c r="J974">
        <v>24.392635349999999</v>
      </c>
      <c r="K974">
        <v>21.42564964</v>
      </c>
      <c r="N974">
        <v>0</v>
      </c>
      <c r="O974">
        <v>0</v>
      </c>
    </row>
    <row r="975" spans="1:15">
      <c r="A975">
        <v>-1.571372067</v>
      </c>
      <c r="B975">
        <v>0.41150682199999999</v>
      </c>
      <c r="C975">
        <v>-0.78568603400000003</v>
      </c>
      <c r="D975">
        <v>-0.81301120000000004</v>
      </c>
      <c r="E975">
        <v>2</v>
      </c>
      <c r="F975">
        <v>32</v>
      </c>
      <c r="G975">
        <v>10</v>
      </c>
      <c r="H975">
        <v>1</v>
      </c>
      <c r="I975">
        <v>1</v>
      </c>
      <c r="J975">
        <v>20.543865199999999</v>
      </c>
      <c r="K975">
        <v>7.9717674260000004</v>
      </c>
      <c r="N975">
        <v>0</v>
      </c>
      <c r="O975">
        <v>0</v>
      </c>
    </row>
    <row r="976" spans="1:15">
      <c r="A976">
        <v>-0.47997989600000002</v>
      </c>
      <c r="B976">
        <v>-0.223660408</v>
      </c>
      <c r="C976">
        <v>-0.23998994800000001</v>
      </c>
      <c r="D976">
        <v>-0.49658209199999997</v>
      </c>
      <c r="E976">
        <v>3</v>
      </c>
      <c r="F976">
        <v>42</v>
      </c>
      <c r="G976">
        <v>16</v>
      </c>
      <c r="H976">
        <v>1</v>
      </c>
      <c r="I976">
        <v>1</v>
      </c>
      <c r="J976">
        <v>32.841014860000001</v>
      </c>
      <c r="K976">
        <v>22.52012062</v>
      </c>
      <c r="L976">
        <v>22.52012062</v>
      </c>
      <c r="M976">
        <v>3.1144092080000001</v>
      </c>
      <c r="N976">
        <v>1</v>
      </c>
      <c r="O976">
        <v>3.1144092080000001</v>
      </c>
    </row>
    <row r="977" spans="1:15">
      <c r="A977">
        <v>0.37594303699999998</v>
      </c>
      <c r="B977">
        <v>8.8515529999999995E-2</v>
      </c>
      <c r="C977">
        <v>0.187971518</v>
      </c>
      <c r="D977">
        <v>0.32736359599999998</v>
      </c>
      <c r="E977">
        <v>4</v>
      </c>
      <c r="F977">
        <v>28</v>
      </c>
      <c r="G977">
        <v>10</v>
      </c>
      <c r="H977">
        <v>0</v>
      </c>
      <c r="I977">
        <v>1</v>
      </c>
      <c r="J977">
        <v>27.628362660000001</v>
      </c>
      <c r="K977">
        <v>18.855657579999999</v>
      </c>
      <c r="N977">
        <v>0</v>
      </c>
      <c r="O977">
        <v>0</v>
      </c>
    </row>
    <row r="978" spans="1:15">
      <c r="A978">
        <v>8.5960419999999996E-2</v>
      </c>
      <c r="B978">
        <v>-0.30284278799999997</v>
      </c>
      <c r="C978">
        <v>4.2980209999999998E-2</v>
      </c>
      <c r="D978">
        <v>-0.15472309200000001</v>
      </c>
      <c r="E978">
        <v>5</v>
      </c>
      <c r="F978">
        <v>48</v>
      </c>
      <c r="G978">
        <v>12</v>
      </c>
      <c r="H978">
        <v>1</v>
      </c>
      <c r="I978">
        <v>3</v>
      </c>
      <c r="J978">
        <v>46.343322749999999</v>
      </c>
      <c r="K978">
        <v>23.115762709999998</v>
      </c>
      <c r="L978">
        <v>23.115762709999998</v>
      </c>
      <c r="M978">
        <v>3.1405148509999998</v>
      </c>
      <c r="N978">
        <v>1</v>
      </c>
      <c r="O978">
        <v>3.1405148509999998</v>
      </c>
    </row>
    <row r="979" spans="1:15">
      <c r="A979">
        <v>1.119494395</v>
      </c>
      <c r="B979">
        <v>-4.2838714999999999E-2</v>
      </c>
      <c r="C979">
        <v>0.55974719699999997</v>
      </c>
      <c r="D979">
        <v>0.75709509799999997</v>
      </c>
      <c r="E979">
        <v>6</v>
      </c>
      <c r="F979">
        <v>32</v>
      </c>
      <c r="G979">
        <v>16</v>
      </c>
      <c r="H979">
        <v>1</v>
      </c>
      <c r="I979">
        <v>2</v>
      </c>
      <c r="J979">
        <v>48.885139469999999</v>
      </c>
      <c r="K979">
        <v>30.116966250000001</v>
      </c>
      <c r="L979">
        <v>30.116966250000001</v>
      </c>
      <c r="M979">
        <v>3.4050886629999999</v>
      </c>
      <c r="N979">
        <v>1</v>
      </c>
      <c r="O979">
        <v>3.4050886629999999</v>
      </c>
    </row>
    <row r="980" spans="1:15">
      <c r="A980">
        <v>1.268464952</v>
      </c>
      <c r="B980">
        <v>0.32042068899999998</v>
      </c>
      <c r="C980">
        <v>0.63423247599999999</v>
      </c>
      <c r="D980">
        <v>1.1200169129999999</v>
      </c>
      <c r="E980">
        <v>7</v>
      </c>
      <c r="F980">
        <v>35</v>
      </c>
      <c r="G980">
        <v>16</v>
      </c>
      <c r="H980">
        <v>1</v>
      </c>
      <c r="I980">
        <v>1</v>
      </c>
      <c r="J980">
        <v>49.440204620000003</v>
      </c>
      <c r="K980">
        <v>31.610790250000001</v>
      </c>
      <c r="L980">
        <v>31.610790250000001</v>
      </c>
      <c r="M980">
        <v>3.4534986019999998</v>
      </c>
      <c r="N980">
        <v>1</v>
      </c>
      <c r="O980">
        <v>3.4534986019999998</v>
      </c>
    </row>
    <row r="981" spans="1:15">
      <c r="A981">
        <v>0.171375045</v>
      </c>
      <c r="B981">
        <v>-0.89645695999999997</v>
      </c>
      <c r="C981">
        <v>8.5687522000000002E-2</v>
      </c>
      <c r="D981">
        <v>-0.51644646999999999</v>
      </c>
      <c r="E981">
        <v>8</v>
      </c>
      <c r="F981">
        <v>36</v>
      </c>
      <c r="G981">
        <v>10</v>
      </c>
      <c r="H981">
        <v>1</v>
      </c>
      <c r="I981">
        <v>1</v>
      </c>
      <c r="J981">
        <v>25.702642440000002</v>
      </c>
      <c r="K981">
        <v>19.228250500000001</v>
      </c>
      <c r="N981">
        <v>0</v>
      </c>
      <c r="O981">
        <v>0</v>
      </c>
    </row>
    <row r="982" spans="1:15">
      <c r="A982">
        <v>0.41638301599999999</v>
      </c>
      <c r="B982">
        <v>-1.7026923940000001</v>
      </c>
      <c r="C982">
        <v>0.208191508</v>
      </c>
      <c r="D982">
        <v>-0.91698446300000003</v>
      </c>
      <c r="E982">
        <v>9</v>
      </c>
      <c r="F982">
        <v>58</v>
      </c>
      <c r="G982">
        <v>16</v>
      </c>
      <c r="H982">
        <v>1</v>
      </c>
      <c r="I982">
        <v>5</v>
      </c>
      <c r="J982">
        <v>54.196186070000003</v>
      </c>
      <c r="K982">
        <v>31.09829903</v>
      </c>
      <c r="L982">
        <v>31.09829903</v>
      </c>
      <c r="M982">
        <v>3.4371531009999998</v>
      </c>
      <c r="N982">
        <v>1</v>
      </c>
      <c r="O982">
        <v>3.4371531009999998</v>
      </c>
    </row>
    <row r="983" spans="1:15">
      <c r="A983">
        <v>-0.55051152599999997</v>
      </c>
      <c r="B983">
        <v>-0.156879515</v>
      </c>
      <c r="C983">
        <v>-0.27525576299999999</v>
      </c>
      <c r="D983">
        <v>-0.49874610699999999</v>
      </c>
      <c r="E983">
        <v>0</v>
      </c>
      <c r="F983">
        <v>22</v>
      </c>
      <c r="G983">
        <v>10</v>
      </c>
      <c r="H983">
        <v>0</v>
      </c>
      <c r="I983">
        <v>2</v>
      </c>
      <c r="J983">
        <v>20.31504631</v>
      </c>
      <c r="K983">
        <v>12.096930499999999</v>
      </c>
      <c r="N983">
        <v>0</v>
      </c>
      <c r="O983">
        <v>0</v>
      </c>
    </row>
    <row r="984" spans="1:15">
      <c r="A984">
        <v>0.52798793499999996</v>
      </c>
      <c r="B984">
        <v>-1.5405362789999999</v>
      </c>
      <c r="C984">
        <v>0.263993967</v>
      </c>
      <c r="D984">
        <v>-0.72324838700000005</v>
      </c>
      <c r="E984">
        <v>1</v>
      </c>
      <c r="F984">
        <v>46</v>
      </c>
      <c r="G984">
        <v>12</v>
      </c>
      <c r="H984">
        <v>0</v>
      </c>
      <c r="I984">
        <v>0</v>
      </c>
      <c r="J984">
        <v>18.721019739999999</v>
      </c>
      <c r="K984">
        <v>25.367927550000001</v>
      </c>
      <c r="N984">
        <v>0</v>
      </c>
      <c r="O984">
        <v>0</v>
      </c>
    </row>
    <row r="985" spans="1:15">
      <c r="A985">
        <v>0.69982587299999999</v>
      </c>
      <c r="B985">
        <v>-0.24868999</v>
      </c>
      <c r="C985">
        <v>0.34991293699999998</v>
      </c>
      <c r="D985">
        <v>0.31559531699999999</v>
      </c>
      <c r="E985">
        <v>2</v>
      </c>
      <c r="F985">
        <v>32</v>
      </c>
      <c r="G985">
        <v>10</v>
      </c>
      <c r="H985">
        <v>0</v>
      </c>
      <c r="I985">
        <v>1</v>
      </c>
      <c r="J985">
        <v>29.08714294</v>
      </c>
      <c r="K985">
        <v>21.598955149999998</v>
      </c>
      <c r="N985">
        <v>0</v>
      </c>
      <c r="O985">
        <v>0</v>
      </c>
    </row>
    <row r="986" spans="1:15">
      <c r="A986">
        <v>-1.045652799</v>
      </c>
      <c r="B986">
        <v>-0.27671615799999999</v>
      </c>
      <c r="C986">
        <v>-0.52282639900000005</v>
      </c>
      <c r="D986">
        <v>-0.93221874400000004</v>
      </c>
      <c r="E986">
        <v>3</v>
      </c>
      <c r="F986">
        <v>45</v>
      </c>
      <c r="G986">
        <v>16</v>
      </c>
      <c r="H986">
        <v>0</v>
      </c>
      <c r="I986">
        <v>2</v>
      </c>
      <c r="J986">
        <v>28.81337547</v>
      </c>
      <c r="K986">
        <v>19.726083760000002</v>
      </c>
      <c r="N986">
        <v>0</v>
      </c>
      <c r="O986">
        <v>0</v>
      </c>
    </row>
    <row r="987" spans="1:15">
      <c r="A987">
        <v>-0.27199220499999999</v>
      </c>
      <c r="B987">
        <v>0.35976207599999999</v>
      </c>
      <c r="C987">
        <v>-0.13599610300000001</v>
      </c>
      <c r="D987">
        <v>6.4300237999999996E-2</v>
      </c>
      <c r="E987">
        <v>4</v>
      </c>
      <c r="F987">
        <v>34</v>
      </c>
      <c r="G987">
        <v>10</v>
      </c>
      <c r="H987">
        <v>0</v>
      </c>
      <c r="I987">
        <v>4</v>
      </c>
      <c r="J987">
        <v>41.871601099999999</v>
      </c>
      <c r="K987">
        <v>16.168046950000001</v>
      </c>
      <c r="L987">
        <v>16.168046950000001</v>
      </c>
      <c r="M987">
        <v>2.7830369469999998</v>
      </c>
      <c r="N987">
        <v>1</v>
      </c>
      <c r="O987">
        <v>2.7830369469999998</v>
      </c>
    </row>
    <row r="988" spans="1:15">
      <c r="A988">
        <v>-0.77293717900000003</v>
      </c>
      <c r="B988">
        <v>0.240246081</v>
      </c>
      <c r="C988">
        <v>-0.38646858899999997</v>
      </c>
      <c r="D988">
        <v>-0.373027308</v>
      </c>
      <c r="E988">
        <v>5</v>
      </c>
      <c r="F988">
        <v>30</v>
      </c>
      <c r="G988">
        <v>16</v>
      </c>
      <c r="H988">
        <v>1</v>
      </c>
      <c r="I988">
        <v>0</v>
      </c>
      <c r="J988">
        <v>24.523672099999999</v>
      </c>
      <c r="K988">
        <v>18.362377169999998</v>
      </c>
      <c r="N988">
        <v>0</v>
      </c>
      <c r="O988">
        <v>0</v>
      </c>
    </row>
    <row r="989" spans="1:15">
      <c r="A989">
        <v>0.470285705</v>
      </c>
      <c r="B989">
        <v>-0.33747433500000001</v>
      </c>
      <c r="C989">
        <v>0.23514285300000001</v>
      </c>
      <c r="D989">
        <v>9.1031348999999998E-2</v>
      </c>
      <c r="E989">
        <v>6</v>
      </c>
      <c r="F989">
        <v>33</v>
      </c>
      <c r="G989">
        <v>10</v>
      </c>
      <c r="H989">
        <v>1</v>
      </c>
      <c r="I989">
        <v>1</v>
      </c>
      <c r="J989">
        <v>31.79237556</v>
      </c>
      <c r="K989">
        <v>20.421714779999999</v>
      </c>
      <c r="L989">
        <v>20.421714779999999</v>
      </c>
      <c r="M989">
        <v>3.0165987009999999</v>
      </c>
      <c r="N989">
        <v>1</v>
      </c>
      <c r="O989">
        <v>3.0165987009999999</v>
      </c>
    </row>
    <row r="990" spans="1:15">
      <c r="A990">
        <v>-0.36216686799999998</v>
      </c>
      <c r="B990">
        <v>-0.55745139399999999</v>
      </c>
      <c r="C990">
        <v>-0.18108343399999999</v>
      </c>
      <c r="D990">
        <v>-0.65088886700000004</v>
      </c>
      <c r="E990">
        <v>7</v>
      </c>
      <c r="F990">
        <v>38</v>
      </c>
      <c r="G990">
        <v>10</v>
      </c>
      <c r="H990">
        <v>1</v>
      </c>
      <c r="I990">
        <v>2</v>
      </c>
      <c r="J990">
        <v>29.88933372</v>
      </c>
      <c r="K990">
        <v>16.426998139999998</v>
      </c>
      <c r="L990">
        <v>16.426998139999998</v>
      </c>
      <c r="M990">
        <v>2.798926115</v>
      </c>
      <c r="N990">
        <v>1</v>
      </c>
      <c r="O990">
        <v>2.798926115</v>
      </c>
    </row>
    <row r="991" spans="1:15">
      <c r="A991">
        <v>-0.76079080700000001</v>
      </c>
      <c r="B991">
        <v>-0.91120383500000002</v>
      </c>
      <c r="C991">
        <v>-0.38039540399999999</v>
      </c>
      <c r="D991">
        <v>-1.182679939</v>
      </c>
      <c r="E991">
        <v>8</v>
      </c>
      <c r="F991">
        <v>41</v>
      </c>
      <c r="G991">
        <v>16</v>
      </c>
      <c r="H991">
        <v>1</v>
      </c>
      <c r="I991">
        <v>0</v>
      </c>
      <c r="J991">
        <v>19.207839969999998</v>
      </c>
      <c r="K991">
        <v>20.63525581</v>
      </c>
      <c r="N991">
        <v>0</v>
      </c>
      <c r="O991">
        <v>0</v>
      </c>
    </row>
    <row r="992" spans="1:15">
      <c r="A992">
        <v>-1.033877715</v>
      </c>
      <c r="B992">
        <v>-0.68773617099999995</v>
      </c>
      <c r="C992">
        <v>-0.51693885799999995</v>
      </c>
      <c r="D992">
        <v>-1.2159978810000001</v>
      </c>
      <c r="E992">
        <v>9</v>
      </c>
      <c r="F992">
        <v>38</v>
      </c>
      <c r="G992">
        <v>12</v>
      </c>
      <c r="H992">
        <v>1</v>
      </c>
      <c r="I992">
        <v>1</v>
      </c>
      <c r="J992">
        <v>19.6080246</v>
      </c>
      <c r="K992">
        <v>14.396733279999999</v>
      </c>
      <c r="N992">
        <v>0</v>
      </c>
      <c r="O992">
        <v>0</v>
      </c>
    </row>
    <row r="993" spans="1:15">
      <c r="A993">
        <v>-0.48174398099999999</v>
      </c>
      <c r="B993">
        <v>0.24797815400000001</v>
      </c>
      <c r="C993">
        <v>-0.24087199100000001</v>
      </c>
      <c r="D993">
        <v>-0.162686147</v>
      </c>
      <c r="E993">
        <v>0</v>
      </c>
      <c r="F993">
        <v>22</v>
      </c>
      <c r="G993">
        <v>10</v>
      </c>
      <c r="H993">
        <v>0</v>
      </c>
      <c r="I993">
        <v>0</v>
      </c>
      <c r="J993">
        <v>14.347765920000001</v>
      </c>
      <c r="K993">
        <v>12.509535789999999</v>
      </c>
      <c r="N993">
        <v>0</v>
      </c>
      <c r="O993">
        <v>0</v>
      </c>
    </row>
    <row r="994" spans="1:15">
      <c r="A994">
        <v>5.6660487000000002E-2</v>
      </c>
      <c r="B994">
        <v>0.101019372</v>
      </c>
      <c r="C994">
        <v>2.8330243000000001E-2</v>
      </c>
      <c r="D994">
        <v>0.111641537</v>
      </c>
      <c r="E994">
        <v>1</v>
      </c>
      <c r="F994">
        <v>31</v>
      </c>
      <c r="G994">
        <v>10</v>
      </c>
      <c r="H994">
        <v>1</v>
      </c>
      <c r="I994">
        <v>0</v>
      </c>
      <c r="J994">
        <v>26.239698409999999</v>
      </c>
      <c r="K994">
        <v>17.539962769999999</v>
      </c>
      <c r="N994">
        <v>0</v>
      </c>
      <c r="O994">
        <v>0</v>
      </c>
    </row>
    <row r="995" spans="1:15">
      <c r="A995">
        <v>-0.12862320799999999</v>
      </c>
      <c r="B995">
        <v>2.1071445469999999</v>
      </c>
      <c r="C995">
        <v>-6.4311603999999994E-2</v>
      </c>
      <c r="D995">
        <v>1.4068116799999999</v>
      </c>
      <c r="E995">
        <v>2</v>
      </c>
      <c r="F995">
        <v>29</v>
      </c>
      <c r="G995">
        <v>12</v>
      </c>
      <c r="H995">
        <v>1</v>
      </c>
      <c r="I995">
        <v>0</v>
      </c>
      <c r="J995">
        <v>42.481739040000001</v>
      </c>
      <c r="K995">
        <v>18.028261180000001</v>
      </c>
      <c r="L995">
        <v>18.028261180000001</v>
      </c>
      <c r="M995">
        <v>2.8919405939999998</v>
      </c>
      <c r="N995">
        <v>1</v>
      </c>
      <c r="O995">
        <v>2.8919405939999998</v>
      </c>
    </row>
    <row r="996" spans="1:15">
      <c r="A996">
        <v>-0.49966576499999998</v>
      </c>
      <c r="B996">
        <v>-0.45851644800000002</v>
      </c>
      <c r="C996">
        <v>-0.24983288300000001</v>
      </c>
      <c r="D996">
        <v>-0.67731459900000002</v>
      </c>
      <c r="E996">
        <v>3</v>
      </c>
      <c r="F996">
        <v>42</v>
      </c>
      <c r="G996">
        <v>16</v>
      </c>
      <c r="H996">
        <v>1</v>
      </c>
      <c r="I996">
        <v>3</v>
      </c>
      <c r="J996">
        <v>40.672225949999998</v>
      </c>
      <c r="K996">
        <v>22.402006149999998</v>
      </c>
      <c r="L996">
        <v>22.402006149999998</v>
      </c>
      <c r="M996">
        <v>3.1091504099999998</v>
      </c>
      <c r="N996">
        <v>1</v>
      </c>
      <c r="O996">
        <v>3.1091504099999998</v>
      </c>
    </row>
    <row r="997" spans="1:15">
      <c r="A997">
        <v>0.76421182600000004</v>
      </c>
      <c r="B997">
        <v>1.151146939</v>
      </c>
      <c r="C997">
        <v>0.38210591300000002</v>
      </c>
      <c r="D997">
        <v>1.3555853099999999</v>
      </c>
      <c r="E997">
        <v>4</v>
      </c>
      <c r="F997">
        <v>36</v>
      </c>
      <c r="G997">
        <v>16</v>
      </c>
      <c r="H997">
        <v>1</v>
      </c>
      <c r="I997">
        <v>0</v>
      </c>
      <c r="J997">
        <v>47.667022709999998</v>
      </c>
      <c r="K997">
        <v>28.785270690000001</v>
      </c>
      <c r="L997">
        <v>28.785270690000001</v>
      </c>
      <c r="M997">
        <v>3.3598637579999999</v>
      </c>
      <c r="N997">
        <v>1</v>
      </c>
      <c r="O997">
        <v>3.3598637579999999</v>
      </c>
    </row>
    <row r="998" spans="1:15">
      <c r="A998">
        <v>-0.7976934</v>
      </c>
      <c r="B998">
        <v>9.0098367999999998E-2</v>
      </c>
      <c r="C998">
        <v>-0.3988467</v>
      </c>
      <c r="D998">
        <v>-0.49713463299999999</v>
      </c>
      <c r="E998">
        <v>5</v>
      </c>
      <c r="F998">
        <v>45</v>
      </c>
      <c r="G998">
        <v>12</v>
      </c>
      <c r="H998">
        <v>1</v>
      </c>
      <c r="I998">
        <v>0</v>
      </c>
      <c r="J998">
        <v>26.034383770000002</v>
      </c>
      <c r="K998">
        <v>17.213840480000002</v>
      </c>
      <c r="N998">
        <v>0</v>
      </c>
      <c r="O998">
        <v>0</v>
      </c>
    </row>
    <row r="999" spans="1:15">
      <c r="A999">
        <v>6.3911908000000003E-2</v>
      </c>
      <c r="B999">
        <v>-0.568990255</v>
      </c>
      <c r="C999">
        <v>3.1955954000000002E-2</v>
      </c>
      <c r="D999">
        <v>-0.35935272000000001</v>
      </c>
      <c r="E999">
        <v>6</v>
      </c>
      <c r="F999">
        <v>41</v>
      </c>
      <c r="G999">
        <v>12</v>
      </c>
      <c r="H999">
        <v>0</v>
      </c>
      <c r="I999">
        <v>2</v>
      </c>
      <c r="J999">
        <v>31.087766649999999</v>
      </c>
      <c r="K999">
        <v>21.583471299999999</v>
      </c>
      <c r="L999">
        <v>21.583471299999999</v>
      </c>
      <c r="M999">
        <v>3.0719277859999998</v>
      </c>
      <c r="N999">
        <v>1</v>
      </c>
      <c r="O999">
        <v>3.0719277859999998</v>
      </c>
    </row>
    <row r="1000" spans="1:15">
      <c r="A1000">
        <v>0.40034256400000001</v>
      </c>
      <c r="B1000">
        <v>0.301327909</v>
      </c>
      <c r="C1000">
        <v>0.20017128200000001</v>
      </c>
      <c r="D1000">
        <v>0.495748256</v>
      </c>
      <c r="E1000">
        <v>7</v>
      </c>
      <c r="F1000">
        <v>34</v>
      </c>
      <c r="G1000">
        <v>16</v>
      </c>
      <c r="H1000">
        <v>1</v>
      </c>
      <c r="I1000">
        <v>4</v>
      </c>
      <c r="J1000">
        <v>56.548980710000002</v>
      </c>
      <c r="K1000">
        <v>26.20205498</v>
      </c>
      <c r="L1000">
        <v>26.20205498</v>
      </c>
      <c r="M1000">
        <v>3.265837908</v>
      </c>
      <c r="N1000">
        <v>1</v>
      </c>
      <c r="O1000">
        <v>3.265837908</v>
      </c>
    </row>
    <row r="1001" spans="1:15">
      <c r="A1001">
        <v>-0.20855381100000001</v>
      </c>
      <c r="B1001">
        <v>-9.9675900000000001E-3</v>
      </c>
      <c r="C1001">
        <v>-0.104276906</v>
      </c>
      <c r="D1001">
        <v>-0.15379499799999999</v>
      </c>
      <c r="E1001">
        <v>8</v>
      </c>
      <c r="F1001">
        <v>37</v>
      </c>
      <c r="G1001">
        <v>12</v>
      </c>
      <c r="H1001">
        <v>1</v>
      </c>
      <c r="I1001">
        <v>5</v>
      </c>
      <c r="J1001">
        <v>51.954460140000002</v>
      </c>
      <c r="K1001">
        <v>19.14867783</v>
      </c>
      <c r="L1001">
        <v>19.14867783</v>
      </c>
      <c r="M1001">
        <v>2.9522335530000001</v>
      </c>
      <c r="N1001">
        <v>1</v>
      </c>
      <c r="O1001">
        <v>2.9522335530000001</v>
      </c>
    </row>
    <row r="1002" spans="1:15">
      <c r="A1002">
        <v>-0.38441118899999999</v>
      </c>
      <c r="B1002">
        <v>0.425803347</v>
      </c>
      <c r="C1002">
        <v>-0.19220559500000001</v>
      </c>
      <c r="D1002">
        <v>3.2143988999999998E-2</v>
      </c>
      <c r="E1002">
        <v>9</v>
      </c>
      <c r="F1002">
        <v>40</v>
      </c>
      <c r="G1002">
        <v>16</v>
      </c>
      <c r="H1002">
        <v>1</v>
      </c>
      <c r="I1002">
        <v>4</v>
      </c>
      <c r="J1002">
        <v>53.385726929999997</v>
      </c>
      <c r="K1002">
        <v>22.693532940000001</v>
      </c>
      <c r="L1002">
        <v>22.693532940000001</v>
      </c>
      <c r="M1002">
        <v>3.1220800880000001</v>
      </c>
      <c r="N1002">
        <v>1</v>
      </c>
      <c r="O1002">
        <v>3.1220800880000001</v>
      </c>
    </row>
    <row r="1003" spans="1:15">
      <c r="A1003">
        <v>1.1228308840000001</v>
      </c>
      <c r="B1003">
        <v>-0.128458041</v>
      </c>
      <c r="C1003">
        <v>0.56141544200000004</v>
      </c>
      <c r="D1003">
        <v>0.69860285200000005</v>
      </c>
      <c r="E1003">
        <v>0</v>
      </c>
      <c r="F1003">
        <v>36</v>
      </c>
      <c r="G1003">
        <v>10</v>
      </c>
      <c r="H1003">
        <v>0</v>
      </c>
      <c r="I1003">
        <v>0</v>
      </c>
      <c r="J1003">
        <v>30.283233639999999</v>
      </c>
      <c r="K1003">
        <v>24.936985020000002</v>
      </c>
      <c r="L1003">
        <v>24.936985020000002</v>
      </c>
      <c r="M1003">
        <v>3.2163519859999998</v>
      </c>
      <c r="N1003">
        <v>1</v>
      </c>
      <c r="O1003">
        <v>3.2163519859999998</v>
      </c>
    </row>
    <row r="1004" spans="1:15">
      <c r="A1004">
        <v>1.0003859230000001</v>
      </c>
      <c r="B1004">
        <v>-1.1132107360000001</v>
      </c>
      <c r="C1004">
        <v>0.50019296199999996</v>
      </c>
      <c r="D1004">
        <v>-8.7279598999999999E-2</v>
      </c>
      <c r="E1004">
        <v>1</v>
      </c>
      <c r="F1004">
        <v>30</v>
      </c>
      <c r="G1004">
        <v>12</v>
      </c>
      <c r="H1004">
        <v>0</v>
      </c>
      <c r="I1004">
        <v>1</v>
      </c>
      <c r="J1004">
        <v>24.95264435</v>
      </c>
      <c r="K1004">
        <v>25.00231552</v>
      </c>
      <c r="N1004">
        <v>0</v>
      </c>
      <c r="O1004">
        <v>0</v>
      </c>
    </row>
    <row r="1005" spans="1:15">
      <c r="A1005">
        <v>-0.83952842400000005</v>
      </c>
      <c r="B1005">
        <v>0.64104867499999996</v>
      </c>
      <c r="C1005">
        <v>-0.41976421200000003</v>
      </c>
      <c r="D1005">
        <v>-0.13507021999999999</v>
      </c>
      <c r="E1005">
        <v>2</v>
      </c>
      <c r="F1005">
        <v>49</v>
      </c>
      <c r="G1005">
        <v>10</v>
      </c>
      <c r="H1005">
        <v>0</v>
      </c>
      <c r="I1005">
        <v>3</v>
      </c>
      <c r="J1005">
        <v>40.479156490000001</v>
      </c>
      <c r="K1005">
        <v>15.762829780000001</v>
      </c>
      <c r="L1005">
        <v>15.762829780000001</v>
      </c>
      <c r="M1005">
        <v>2.7576546670000002</v>
      </c>
      <c r="N1005">
        <v>1</v>
      </c>
      <c r="O1005">
        <v>2.7576546670000002</v>
      </c>
    </row>
    <row r="1006" spans="1:15">
      <c r="A1006">
        <v>-0.87812984800000005</v>
      </c>
      <c r="B1006">
        <v>0.68399043000000004</v>
      </c>
      <c r="C1006">
        <v>-0.43906492400000002</v>
      </c>
      <c r="D1006">
        <v>-0.131711774</v>
      </c>
      <c r="E1006">
        <v>3</v>
      </c>
      <c r="F1006">
        <v>42</v>
      </c>
      <c r="G1006">
        <v>12</v>
      </c>
      <c r="H1006">
        <v>0</v>
      </c>
      <c r="I1006">
        <v>3</v>
      </c>
      <c r="J1006">
        <v>39.219459530000002</v>
      </c>
      <c r="K1006">
        <v>16.13122177</v>
      </c>
      <c r="L1006">
        <v>16.13122177</v>
      </c>
      <c r="M1006">
        <v>2.7807567120000001</v>
      </c>
      <c r="N1006">
        <v>1</v>
      </c>
      <c r="O1006">
        <v>2.7807567120000001</v>
      </c>
    </row>
    <row r="1007" spans="1:15">
      <c r="A1007">
        <v>0.23176965499999999</v>
      </c>
      <c r="B1007">
        <v>-1.0705259760000001</v>
      </c>
      <c r="C1007">
        <v>0.115884828</v>
      </c>
      <c r="D1007">
        <v>-0.59765038199999998</v>
      </c>
      <c r="E1007">
        <v>4</v>
      </c>
      <c r="F1007">
        <v>46</v>
      </c>
      <c r="G1007">
        <v>10</v>
      </c>
      <c r="H1007">
        <v>0</v>
      </c>
      <c r="I1007">
        <v>3</v>
      </c>
      <c r="J1007">
        <v>33.728195190000001</v>
      </c>
      <c r="K1007">
        <v>21.590618129999999</v>
      </c>
      <c r="L1007">
        <v>21.590618129999999</v>
      </c>
      <c r="M1007">
        <v>3.0722589490000001</v>
      </c>
      <c r="N1007">
        <v>1</v>
      </c>
      <c r="O1007">
        <v>3.0722589490000001</v>
      </c>
    </row>
    <row r="1008" spans="1:15">
      <c r="A1008">
        <v>1.730011344</v>
      </c>
      <c r="B1008">
        <v>-0.34562269600000001</v>
      </c>
      <c r="C1008">
        <v>0.865005672</v>
      </c>
      <c r="D1008">
        <v>0.97142578199999996</v>
      </c>
      <c r="E1008">
        <v>5</v>
      </c>
      <c r="F1008">
        <v>31</v>
      </c>
      <c r="G1008">
        <v>12</v>
      </c>
      <c r="H1008">
        <v>1</v>
      </c>
      <c r="I1008">
        <v>0</v>
      </c>
      <c r="J1008">
        <v>38.057109830000002</v>
      </c>
      <c r="K1008">
        <v>29.58006859</v>
      </c>
      <c r="L1008">
        <v>29.58006859</v>
      </c>
      <c r="M1008">
        <v>3.3871006970000002</v>
      </c>
      <c r="N1008">
        <v>1</v>
      </c>
      <c r="O1008">
        <v>3.3871006970000002</v>
      </c>
    </row>
    <row r="1009" spans="1:15">
      <c r="A1009">
        <v>1.637323251</v>
      </c>
      <c r="B1009">
        <v>-0.243385772</v>
      </c>
      <c r="C1009">
        <v>0.81866162600000003</v>
      </c>
      <c r="D1009">
        <v>0.97886961400000005</v>
      </c>
      <c r="E1009">
        <v>6</v>
      </c>
      <c r="F1009">
        <v>43</v>
      </c>
      <c r="G1009">
        <v>16</v>
      </c>
      <c r="H1009">
        <v>1</v>
      </c>
      <c r="I1009">
        <v>2</v>
      </c>
      <c r="J1009">
        <v>55.946434019999998</v>
      </c>
      <c r="K1009">
        <v>35.423938749999998</v>
      </c>
      <c r="L1009">
        <v>35.423938749999998</v>
      </c>
      <c r="M1009">
        <v>3.5673878189999999</v>
      </c>
      <c r="N1009">
        <v>1</v>
      </c>
      <c r="O1009">
        <v>3.5673878189999999</v>
      </c>
    </row>
    <row r="1010" spans="1:15">
      <c r="A1010">
        <v>1.5595836860000001</v>
      </c>
      <c r="B1010">
        <v>-0.51241001600000002</v>
      </c>
      <c r="C1010">
        <v>0.77979184300000004</v>
      </c>
      <c r="D1010">
        <v>0.73301858600000003</v>
      </c>
      <c r="E1010">
        <v>7</v>
      </c>
      <c r="F1010">
        <v>40</v>
      </c>
      <c r="G1010">
        <v>12</v>
      </c>
      <c r="H1010">
        <v>1</v>
      </c>
      <c r="I1010">
        <v>4</v>
      </c>
      <c r="J1010">
        <v>58.79622269</v>
      </c>
      <c r="K1010">
        <v>30.357501979999999</v>
      </c>
      <c r="L1010">
        <v>30.357501979999999</v>
      </c>
      <c r="M1010">
        <v>3.4130437370000002</v>
      </c>
      <c r="N1010">
        <v>1</v>
      </c>
      <c r="O1010">
        <v>3.4130437370000002</v>
      </c>
    </row>
    <row r="1011" spans="1:15">
      <c r="A1011">
        <v>0.12223239599999999</v>
      </c>
      <c r="B1011">
        <v>0.99475117300000004</v>
      </c>
      <c r="C1011">
        <v>6.1116197999999997E-2</v>
      </c>
      <c r="D1011">
        <v>0.79283763399999996</v>
      </c>
      <c r="E1011">
        <v>8</v>
      </c>
      <c r="F1011">
        <v>43</v>
      </c>
      <c r="G1011">
        <v>16</v>
      </c>
      <c r="H1011">
        <v>1</v>
      </c>
      <c r="I1011">
        <v>1</v>
      </c>
      <c r="J1011">
        <v>48.714050290000003</v>
      </c>
      <c r="K1011">
        <v>26.333394999999999</v>
      </c>
      <c r="L1011">
        <v>26.333394999999999</v>
      </c>
      <c r="M1011">
        <v>3.270838022</v>
      </c>
      <c r="N1011">
        <v>1</v>
      </c>
      <c r="O1011">
        <v>3.270838022</v>
      </c>
    </row>
    <row r="1012" spans="1:15">
      <c r="A1012">
        <v>1.0594492790000001</v>
      </c>
      <c r="B1012">
        <v>-2.1839973069999998</v>
      </c>
      <c r="C1012">
        <v>0.52972463999999997</v>
      </c>
      <c r="D1012">
        <v>-0.80660958199999999</v>
      </c>
      <c r="E1012">
        <v>9</v>
      </c>
      <c r="F1012">
        <v>39</v>
      </c>
      <c r="G1012">
        <v>16</v>
      </c>
      <c r="H1012">
        <v>1</v>
      </c>
      <c r="I1012">
        <v>2</v>
      </c>
      <c r="J1012">
        <v>32.920684809999997</v>
      </c>
      <c r="K1012">
        <v>31.156696320000002</v>
      </c>
      <c r="L1012">
        <v>31.156696320000002</v>
      </c>
      <c r="M1012">
        <v>3.4390292169999999</v>
      </c>
      <c r="N1012">
        <v>1</v>
      </c>
      <c r="O1012">
        <v>3.4390292169999999</v>
      </c>
    </row>
    <row r="1013" spans="1:15">
      <c r="A1013">
        <v>1.3024193770000001</v>
      </c>
      <c r="B1013">
        <v>1.598642033</v>
      </c>
      <c r="C1013">
        <v>0.65120968800000001</v>
      </c>
      <c r="D1013">
        <v>2.0521815079999999</v>
      </c>
      <c r="E1013">
        <v>0</v>
      </c>
      <c r="F1013">
        <v>26</v>
      </c>
      <c r="G1013">
        <v>10</v>
      </c>
      <c r="H1013">
        <v>0</v>
      </c>
      <c r="I1013">
        <v>2</v>
      </c>
      <c r="J1013">
        <v>52.526176450000001</v>
      </c>
      <c r="K1013">
        <v>24.014516830000002</v>
      </c>
      <c r="L1013">
        <v>24.014516830000002</v>
      </c>
      <c r="M1013">
        <v>3.1786584850000001</v>
      </c>
      <c r="N1013">
        <v>1</v>
      </c>
      <c r="O1013">
        <v>3.1786584850000001</v>
      </c>
    </row>
    <row r="1014" spans="1:15">
      <c r="A1014">
        <v>0.119381722</v>
      </c>
      <c r="B1014">
        <v>0.61934275599999999</v>
      </c>
      <c r="C1014">
        <v>5.9690860999999998E-2</v>
      </c>
      <c r="D1014">
        <v>0.524074543</v>
      </c>
      <c r="E1014">
        <v>1</v>
      </c>
      <c r="F1014">
        <v>32</v>
      </c>
      <c r="G1014">
        <v>16</v>
      </c>
      <c r="H1014">
        <v>0</v>
      </c>
      <c r="I1014">
        <v>2</v>
      </c>
      <c r="J1014">
        <v>41.088893890000001</v>
      </c>
      <c r="K1014">
        <v>24.116291050000001</v>
      </c>
      <c r="L1014">
        <v>24.116291050000001</v>
      </c>
      <c r="M1014">
        <v>3.1828875540000001</v>
      </c>
      <c r="N1014">
        <v>1</v>
      </c>
      <c r="O1014">
        <v>3.1828875540000001</v>
      </c>
    </row>
    <row r="1015" spans="1:15">
      <c r="A1015">
        <v>-3.2134041550000001</v>
      </c>
      <c r="B1015">
        <v>-0.78575496499999997</v>
      </c>
      <c r="C1015">
        <v>-1.606702077</v>
      </c>
      <c r="D1015">
        <v>-2.8188887120000001</v>
      </c>
      <c r="E1015">
        <v>2</v>
      </c>
      <c r="F1015">
        <v>33</v>
      </c>
      <c r="G1015">
        <v>10</v>
      </c>
      <c r="H1015">
        <v>0</v>
      </c>
      <c r="I1015">
        <v>1</v>
      </c>
      <c r="J1015">
        <v>-8.1266641620000009</v>
      </c>
      <c r="K1015">
        <v>-1.680424929</v>
      </c>
      <c r="N1015">
        <v>0</v>
      </c>
      <c r="O1015">
        <v>0</v>
      </c>
    </row>
    <row r="1016" spans="1:15">
      <c r="A1016">
        <v>0.33276381900000002</v>
      </c>
      <c r="B1016">
        <v>0.76491051799999998</v>
      </c>
      <c r="C1016">
        <v>0.16638190899999999</v>
      </c>
      <c r="D1016">
        <v>0.77762088600000001</v>
      </c>
      <c r="E1016">
        <v>3</v>
      </c>
      <c r="F1016">
        <v>26</v>
      </c>
      <c r="G1016">
        <v>16</v>
      </c>
      <c r="H1016">
        <v>0</v>
      </c>
      <c r="I1016">
        <v>1</v>
      </c>
      <c r="J1016">
        <v>36.731449130000001</v>
      </c>
      <c r="K1016">
        <v>24.196582790000001</v>
      </c>
      <c r="L1016">
        <v>24.196582790000001</v>
      </c>
      <c r="M1016">
        <v>3.1862113480000001</v>
      </c>
      <c r="N1016">
        <v>1</v>
      </c>
      <c r="O1016">
        <v>3.1862113480000001</v>
      </c>
    </row>
    <row r="1017" spans="1:15">
      <c r="A1017">
        <v>-0.61529436400000004</v>
      </c>
      <c r="B1017">
        <v>0.97580305199999995</v>
      </c>
      <c r="C1017">
        <v>-0.30764718200000002</v>
      </c>
      <c r="D1017">
        <v>0.26054242500000002</v>
      </c>
      <c r="E1017">
        <v>4</v>
      </c>
      <c r="F1017">
        <v>43</v>
      </c>
      <c r="G1017">
        <v>16</v>
      </c>
      <c r="H1017">
        <v>1</v>
      </c>
      <c r="I1017">
        <v>3</v>
      </c>
      <c r="J1017">
        <v>52.326507569999997</v>
      </c>
      <c r="K1017">
        <v>21.908233639999999</v>
      </c>
      <c r="L1017">
        <v>21.908233639999999</v>
      </c>
      <c r="M1017">
        <v>3.086862564</v>
      </c>
      <c r="N1017">
        <v>1</v>
      </c>
      <c r="O1017">
        <v>3.086862564</v>
      </c>
    </row>
    <row r="1018" spans="1:15">
      <c r="A1018">
        <v>0.73313134099999999</v>
      </c>
      <c r="B1018">
        <v>1.911444479</v>
      </c>
      <c r="C1018">
        <v>0.36656567099999998</v>
      </c>
      <c r="D1018">
        <v>1.873973222</v>
      </c>
      <c r="E1018">
        <v>5</v>
      </c>
      <c r="F1018">
        <v>30</v>
      </c>
      <c r="G1018">
        <v>16</v>
      </c>
      <c r="H1018">
        <v>0</v>
      </c>
      <c r="I1018">
        <v>4</v>
      </c>
      <c r="J1018">
        <v>66.487678529999997</v>
      </c>
      <c r="K1018">
        <v>27.398788450000001</v>
      </c>
      <c r="L1018">
        <v>27.398788450000001</v>
      </c>
      <c r="M1018">
        <v>3.310498714</v>
      </c>
      <c r="N1018">
        <v>1</v>
      </c>
      <c r="O1018">
        <v>3.310498714</v>
      </c>
    </row>
    <row r="1019" spans="1:15">
      <c r="A1019">
        <v>-0.74535166200000003</v>
      </c>
      <c r="B1019">
        <v>-0.84361808599999999</v>
      </c>
      <c r="C1019">
        <v>-0.37267583100000001</v>
      </c>
      <c r="D1019">
        <v>-1.1237938169999999</v>
      </c>
      <c r="E1019">
        <v>6</v>
      </c>
      <c r="F1019">
        <v>32</v>
      </c>
      <c r="G1019">
        <v>12</v>
      </c>
      <c r="H1019">
        <v>1</v>
      </c>
      <c r="I1019">
        <v>5</v>
      </c>
      <c r="J1019">
        <v>38.31447601</v>
      </c>
      <c r="K1019">
        <v>14.927889820000001</v>
      </c>
      <c r="L1019">
        <v>14.927889820000001</v>
      </c>
      <c r="M1019">
        <v>2.7032313349999999</v>
      </c>
      <c r="N1019">
        <v>1</v>
      </c>
      <c r="O1019">
        <v>2.7032313349999999</v>
      </c>
    </row>
    <row r="1020" spans="1:15">
      <c r="A1020">
        <v>-0.31577891400000002</v>
      </c>
      <c r="B1020">
        <v>0.25973239100000001</v>
      </c>
      <c r="C1020">
        <v>-0.15788945700000001</v>
      </c>
      <c r="D1020">
        <v>-3.7581677000000001E-2</v>
      </c>
      <c r="E1020">
        <v>7</v>
      </c>
      <c r="F1020">
        <v>36</v>
      </c>
      <c r="G1020">
        <v>12</v>
      </c>
      <c r="H1020">
        <v>1</v>
      </c>
      <c r="I1020">
        <v>5</v>
      </c>
      <c r="J1020">
        <v>52.949020390000001</v>
      </c>
      <c r="K1020">
        <v>18.30532646</v>
      </c>
      <c r="L1020">
        <v>18.30532646</v>
      </c>
      <c r="M1020">
        <v>2.907191992</v>
      </c>
      <c r="N1020">
        <v>1</v>
      </c>
      <c r="O1020">
        <v>2.907191992</v>
      </c>
    </row>
    <row r="1021" spans="1:15">
      <c r="A1021">
        <v>-0.38490787900000001</v>
      </c>
      <c r="B1021">
        <v>-0.36882595600000001</v>
      </c>
      <c r="C1021">
        <v>-0.19245393999999999</v>
      </c>
      <c r="D1021">
        <v>-0.53285311599999996</v>
      </c>
      <c r="E1021">
        <v>8</v>
      </c>
      <c r="F1021">
        <v>46</v>
      </c>
      <c r="G1021">
        <v>20</v>
      </c>
      <c r="H1021">
        <v>1</v>
      </c>
      <c r="I1021">
        <v>1</v>
      </c>
      <c r="J1021">
        <v>37.00576401</v>
      </c>
      <c r="K1021">
        <v>27.89055252</v>
      </c>
      <c r="L1021">
        <v>27.89055252</v>
      </c>
      <c r="M1021">
        <v>3.3282880779999999</v>
      </c>
      <c r="N1021">
        <v>1</v>
      </c>
      <c r="O1021">
        <v>3.3282880779999999</v>
      </c>
    </row>
    <row r="1022" spans="1:15">
      <c r="A1022">
        <v>-2.1345732069999999</v>
      </c>
      <c r="B1022">
        <v>0.70561979100000005</v>
      </c>
      <c r="C1022">
        <v>-1.067286604</v>
      </c>
      <c r="D1022">
        <v>-1.0002178799999999</v>
      </c>
      <c r="E1022">
        <v>9</v>
      </c>
      <c r="F1022">
        <v>53</v>
      </c>
      <c r="G1022">
        <v>12</v>
      </c>
      <c r="H1022">
        <v>1</v>
      </c>
      <c r="I1022">
        <v>2</v>
      </c>
      <c r="J1022">
        <v>33.197383879999997</v>
      </c>
      <c r="K1022">
        <v>10.79256058</v>
      </c>
      <c r="L1022">
        <v>10.79256058</v>
      </c>
      <c r="M1022">
        <v>2.3788571360000001</v>
      </c>
      <c r="N1022">
        <v>1</v>
      </c>
      <c r="O1022">
        <v>2.3788571360000001</v>
      </c>
    </row>
    <row r="1023" spans="1:15">
      <c r="A1023">
        <v>-1.13584694</v>
      </c>
      <c r="B1023">
        <v>1.6273978090000001</v>
      </c>
      <c r="C1023">
        <v>-0.56792346999999999</v>
      </c>
      <c r="D1023">
        <v>0.35735732199999998</v>
      </c>
      <c r="E1023">
        <v>0</v>
      </c>
      <c r="F1023">
        <v>37</v>
      </c>
      <c r="G1023">
        <v>10</v>
      </c>
      <c r="H1023">
        <v>1</v>
      </c>
      <c r="I1023">
        <v>1</v>
      </c>
      <c r="J1023">
        <v>36.588287350000002</v>
      </c>
      <c r="K1023">
        <v>11.58491802</v>
      </c>
      <c r="L1023">
        <v>11.58491802</v>
      </c>
      <c r="M1023">
        <v>2.44970417</v>
      </c>
      <c r="N1023">
        <v>1</v>
      </c>
      <c r="O1023">
        <v>2.44970417</v>
      </c>
    </row>
    <row r="1024" spans="1:15">
      <c r="A1024">
        <v>-0.51404334500000004</v>
      </c>
      <c r="B1024">
        <v>-0.29294550000000003</v>
      </c>
      <c r="C1024">
        <v>-0.25702167300000001</v>
      </c>
      <c r="D1024">
        <v>-0.56977745099999999</v>
      </c>
      <c r="E1024">
        <v>1</v>
      </c>
      <c r="F1024">
        <v>55</v>
      </c>
      <c r="G1024">
        <v>10</v>
      </c>
      <c r="H1024">
        <v>0</v>
      </c>
      <c r="I1024">
        <v>3</v>
      </c>
      <c r="J1024">
        <v>37.662670140000003</v>
      </c>
      <c r="K1024">
        <v>18.91573906</v>
      </c>
      <c r="L1024">
        <v>18.91573906</v>
      </c>
      <c r="M1024">
        <v>2.9399943350000002</v>
      </c>
      <c r="N1024">
        <v>1</v>
      </c>
      <c r="O1024">
        <v>2.9399943350000002</v>
      </c>
    </row>
    <row r="1025" spans="1:15">
      <c r="A1025">
        <v>-0.28476469799999998</v>
      </c>
      <c r="B1025">
        <v>0.35430275500000002</v>
      </c>
      <c r="C1025">
        <v>-0.14238234899999999</v>
      </c>
      <c r="D1025">
        <v>5.1435834E-2</v>
      </c>
      <c r="E1025">
        <v>2</v>
      </c>
      <c r="F1025">
        <v>30</v>
      </c>
      <c r="G1025">
        <v>10</v>
      </c>
      <c r="H1025">
        <v>1</v>
      </c>
      <c r="I1025">
        <v>1</v>
      </c>
      <c r="J1025">
        <v>30.117229460000001</v>
      </c>
      <c r="K1025">
        <v>15.291411399999999</v>
      </c>
      <c r="L1025">
        <v>15.291411399999999</v>
      </c>
      <c r="M1025">
        <v>2.7272913459999999</v>
      </c>
      <c r="N1025">
        <v>1</v>
      </c>
      <c r="O1025">
        <v>2.7272913459999999</v>
      </c>
    </row>
    <row r="1026" spans="1:15">
      <c r="A1026">
        <v>-1.140724713</v>
      </c>
      <c r="B1026">
        <v>-0.27531764399999997</v>
      </c>
      <c r="C1026">
        <v>-0.57036235599999996</v>
      </c>
      <c r="D1026">
        <v>-0.99810562800000002</v>
      </c>
      <c r="E1026">
        <v>3</v>
      </c>
      <c r="F1026">
        <v>44</v>
      </c>
      <c r="G1026">
        <v>16</v>
      </c>
      <c r="H1026">
        <v>0</v>
      </c>
      <c r="I1026">
        <v>1</v>
      </c>
      <c r="J1026">
        <v>22.622732160000002</v>
      </c>
      <c r="K1026">
        <v>18.955652239999999</v>
      </c>
      <c r="N1026">
        <v>0</v>
      </c>
      <c r="O1026">
        <v>0</v>
      </c>
    </row>
    <row r="1027" spans="1:15">
      <c r="A1027">
        <v>0.71911594199999995</v>
      </c>
      <c r="B1027">
        <v>-0.95805429900000005</v>
      </c>
      <c r="C1027">
        <v>0.35955797099999998</v>
      </c>
      <c r="D1027">
        <v>-0.17489471400000001</v>
      </c>
      <c r="E1027">
        <v>4</v>
      </c>
      <c r="F1027">
        <v>30</v>
      </c>
      <c r="G1027">
        <v>10</v>
      </c>
      <c r="H1027">
        <v>1</v>
      </c>
      <c r="I1027">
        <v>4</v>
      </c>
      <c r="J1027">
        <v>42.401264189999999</v>
      </c>
      <c r="K1027">
        <v>21.314695360000002</v>
      </c>
      <c r="L1027">
        <v>21.314695360000002</v>
      </c>
      <c r="M1027">
        <v>3.0593967439999998</v>
      </c>
      <c r="N1027">
        <v>1</v>
      </c>
      <c r="O1027">
        <v>3.0593967439999998</v>
      </c>
    </row>
    <row r="1028" spans="1:15">
      <c r="A1028">
        <v>2.011587671</v>
      </c>
      <c r="B1028">
        <v>2.5027261969999999</v>
      </c>
      <c r="C1028">
        <v>1.005793835</v>
      </c>
      <c r="D1028">
        <v>3.1934872439999999</v>
      </c>
      <c r="E1028">
        <v>5</v>
      </c>
      <c r="F1028">
        <v>34</v>
      </c>
      <c r="G1028">
        <v>12</v>
      </c>
      <c r="H1028">
        <v>1</v>
      </c>
      <c r="I1028">
        <v>1</v>
      </c>
      <c r="J1028">
        <v>70.921844480000004</v>
      </c>
      <c r="K1028">
        <v>31.86952591</v>
      </c>
      <c r="L1028">
        <v>31.86952591</v>
      </c>
      <c r="M1028">
        <v>3.4616503719999998</v>
      </c>
      <c r="N1028">
        <v>1</v>
      </c>
      <c r="O1028">
        <v>3.4616503719999998</v>
      </c>
    </row>
    <row r="1029" spans="1:15">
      <c r="A1029">
        <v>0.44968602200000002</v>
      </c>
      <c r="B1029">
        <v>-0.21110930899999999</v>
      </c>
      <c r="C1029">
        <v>0.22484301100000001</v>
      </c>
      <c r="D1029">
        <v>0.16633246400000001</v>
      </c>
      <c r="E1029">
        <v>6</v>
      </c>
      <c r="F1029">
        <v>52</v>
      </c>
      <c r="G1029">
        <v>16</v>
      </c>
      <c r="H1029">
        <v>1</v>
      </c>
      <c r="I1029">
        <v>1</v>
      </c>
      <c r="J1029">
        <v>44.795989990000002</v>
      </c>
      <c r="K1029">
        <v>30.098115920000001</v>
      </c>
      <c r="L1029">
        <v>30.098115920000001</v>
      </c>
      <c r="M1029">
        <v>3.4044625759999998</v>
      </c>
      <c r="N1029">
        <v>1</v>
      </c>
      <c r="O1029">
        <v>3.4044625759999998</v>
      </c>
    </row>
    <row r="1030" spans="1:15">
      <c r="A1030">
        <v>-1.1727732239999999</v>
      </c>
      <c r="B1030">
        <v>0.54145746400000005</v>
      </c>
      <c r="C1030">
        <v>-0.58638661199999997</v>
      </c>
      <c r="D1030">
        <v>-0.44026686599999998</v>
      </c>
      <c r="E1030">
        <v>7</v>
      </c>
      <c r="F1030">
        <v>55</v>
      </c>
      <c r="G1030">
        <v>16</v>
      </c>
      <c r="H1030">
        <v>1</v>
      </c>
      <c r="I1030">
        <v>3</v>
      </c>
      <c r="J1030">
        <v>48.716796879999997</v>
      </c>
      <c r="K1030">
        <v>20.963359830000002</v>
      </c>
      <c r="L1030">
        <v>20.963359830000002</v>
      </c>
      <c r="M1030">
        <v>3.042776108</v>
      </c>
      <c r="N1030">
        <v>1</v>
      </c>
      <c r="O1030">
        <v>3.042776108</v>
      </c>
    </row>
    <row r="1031" spans="1:15">
      <c r="A1031">
        <v>0.37874115200000003</v>
      </c>
      <c r="B1031">
        <v>-0.42701112299999999</v>
      </c>
      <c r="C1031">
        <v>0.18937057600000001</v>
      </c>
      <c r="D1031">
        <v>-3.6990935000000003E-2</v>
      </c>
      <c r="E1031">
        <v>8</v>
      </c>
      <c r="F1031">
        <v>52</v>
      </c>
      <c r="G1031">
        <v>16</v>
      </c>
      <c r="H1031">
        <v>1</v>
      </c>
      <c r="I1031">
        <v>1</v>
      </c>
      <c r="J1031">
        <v>42.356109619999998</v>
      </c>
      <c r="K1031">
        <v>29.672447200000001</v>
      </c>
      <c r="L1031">
        <v>29.672447200000001</v>
      </c>
      <c r="M1031">
        <v>3.3902189730000001</v>
      </c>
      <c r="N1031">
        <v>1</v>
      </c>
      <c r="O1031">
        <v>3.3902189730000001</v>
      </c>
    </row>
    <row r="1032" spans="1:15">
      <c r="A1032">
        <v>0.58864382800000004</v>
      </c>
      <c r="B1032">
        <v>0.47714144600000002</v>
      </c>
      <c r="C1032">
        <v>0.29432191400000002</v>
      </c>
      <c r="D1032">
        <v>0.75314292299999996</v>
      </c>
      <c r="E1032">
        <v>9</v>
      </c>
      <c r="F1032">
        <v>45</v>
      </c>
      <c r="G1032">
        <v>12</v>
      </c>
      <c r="H1032">
        <v>1</v>
      </c>
      <c r="I1032">
        <v>3</v>
      </c>
      <c r="J1032">
        <v>56.037715910000003</v>
      </c>
      <c r="K1032">
        <v>25.53186226</v>
      </c>
      <c r="L1032">
        <v>25.53186226</v>
      </c>
      <c r="M1032">
        <v>3.2399270530000002</v>
      </c>
      <c r="N1032">
        <v>1</v>
      </c>
      <c r="O1032">
        <v>3.2399270530000002</v>
      </c>
    </row>
    <row r="1033" spans="1:15">
      <c r="A1033">
        <v>-0.25515848099999999</v>
      </c>
      <c r="B1033">
        <v>-0.37866054399999999</v>
      </c>
      <c r="C1033">
        <v>-0.12757924100000001</v>
      </c>
      <c r="D1033">
        <v>-0.44856602299999998</v>
      </c>
      <c r="E1033">
        <v>0</v>
      </c>
      <c r="F1033">
        <v>24</v>
      </c>
      <c r="G1033">
        <v>12</v>
      </c>
      <c r="H1033">
        <v>0</v>
      </c>
      <c r="I1033">
        <v>1</v>
      </c>
      <c r="J1033">
        <v>18.217206950000001</v>
      </c>
      <c r="K1033">
        <v>16.269048690000002</v>
      </c>
      <c r="N1033">
        <v>0</v>
      </c>
      <c r="O1033">
        <v>0</v>
      </c>
    </row>
    <row r="1034" spans="1:15">
      <c r="A1034">
        <v>1.247810799</v>
      </c>
      <c r="B1034">
        <v>-0.69455908300000002</v>
      </c>
      <c r="C1034">
        <v>0.62390539899999997</v>
      </c>
      <c r="D1034">
        <v>0.38426291400000001</v>
      </c>
      <c r="E1034">
        <v>1</v>
      </c>
      <c r="F1034">
        <v>22</v>
      </c>
      <c r="G1034">
        <v>10</v>
      </c>
      <c r="H1034">
        <v>1</v>
      </c>
      <c r="I1034">
        <v>0</v>
      </c>
      <c r="J1034">
        <v>25.911155699999998</v>
      </c>
      <c r="K1034">
        <v>22.886865619999998</v>
      </c>
      <c r="N1034">
        <v>0</v>
      </c>
      <c r="O1034">
        <v>0</v>
      </c>
    </row>
    <row r="1035" spans="1:15">
      <c r="A1035">
        <v>1.1912345929999999</v>
      </c>
      <c r="B1035">
        <v>0.50586773900000004</v>
      </c>
      <c r="C1035">
        <v>0.59561729699999999</v>
      </c>
      <c r="D1035">
        <v>1.197462314</v>
      </c>
      <c r="E1035">
        <v>2</v>
      </c>
      <c r="F1035">
        <v>28</v>
      </c>
      <c r="G1035">
        <v>10</v>
      </c>
      <c r="H1035">
        <v>0</v>
      </c>
      <c r="I1035">
        <v>2</v>
      </c>
      <c r="J1035">
        <v>43.069549559999999</v>
      </c>
      <c r="K1035">
        <v>23.74740791</v>
      </c>
      <c r="L1035">
        <v>23.74740791</v>
      </c>
      <c r="M1035">
        <v>3.1674733160000001</v>
      </c>
      <c r="N1035">
        <v>1</v>
      </c>
      <c r="O1035">
        <v>3.1674733160000001</v>
      </c>
    </row>
    <row r="1036" spans="1:15">
      <c r="A1036">
        <v>-1.0236081560000001</v>
      </c>
      <c r="B1036">
        <v>-0.49952063800000002</v>
      </c>
      <c r="C1036">
        <v>-0.51180407800000005</v>
      </c>
      <c r="D1036">
        <v>-1.075031316</v>
      </c>
      <c r="E1036">
        <v>3</v>
      </c>
      <c r="F1036">
        <v>40</v>
      </c>
      <c r="G1036">
        <v>10</v>
      </c>
      <c r="H1036">
        <v>0</v>
      </c>
      <c r="I1036">
        <v>3</v>
      </c>
      <c r="J1036">
        <v>25.599624630000001</v>
      </c>
      <c r="K1036">
        <v>12.85835075</v>
      </c>
      <c r="N1036">
        <v>0</v>
      </c>
      <c r="O1036">
        <v>0</v>
      </c>
    </row>
    <row r="1037" spans="1:15">
      <c r="A1037">
        <v>-1.2282694670000001</v>
      </c>
      <c r="B1037">
        <v>-0.38947026699999998</v>
      </c>
      <c r="C1037">
        <v>-0.61413473299999999</v>
      </c>
      <c r="D1037">
        <v>-1.140805676</v>
      </c>
      <c r="E1037">
        <v>4</v>
      </c>
      <c r="F1037">
        <v>36</v>
      </c>
      <c r="G1037">
        <v>16</v>
      </c>
      <c r="H1037">
        <v>1</v>
      </c>
      <c r="I1037">
        <v>1</v>
      </c>
      <c r="J1037">
        <v>22.71033096</v>
      </c>
      <c r="K1037">
        <v>16.830383300000001</v>
      </c>
      <c r="N1037">
        <v>0</v>
      </c>
      <c r="O1037">
        <v>0</v>
      </c>
    </row>
    <row r="1038" spans="1:15">
      <c r="A1038">
        <v>0.51483785800000004</v>
      </c>
      <c r="B1038">
        <v>0.91066952099999998</v>
      </c>
      <c r="C1038">
        <v>0.25741892900000002</v>
      </c>
      <c r="D1038">
        <v>1.00927871</v>
      </c>
      <c r="E1038">
        <v>5</v>
      </c>
      <c r="F1038">
        <v>31</v>
      </c>
      <c r="G1038">
        <v>10</v>
      </c>
      <c r="H1038">
        <v>1</v>
      </c>
      <c r="I1038">
        <v>0</v>
      </c>
      <c r="J1038">
        <v>37.011344909999998</v>
      </c>
      <c r="K1038">
        <v>20.28902626</v>
      </c>
      <c r="L1038">
        <v>20.28902626</v>
      </c>
      <c r="M1038">
        <v>3.0100800990000001</v>
      </c>
      <c r="N1038">
        <v>1</v>
      </c>
      <c r="O1038">
        <v>3.0100800990000001</v>
      </c>
    </row>
    <row r="1039" spans="1:15">
      <c r="A1039">
        <v>-0.77628991199999997</v>
      </c>
      <c r="B1039">
        <v>-0.21406962099999999</v>
      </c>
      <c r="C1039">
        <v>-0.38814495599999999</v>
      </c>
      <c r="D1039">
        <v>-0.69821352400000003</v>
      </c>
      <c r="E1039">
        <v>6</v>
      </c>
      <c r="F1039">
        <v>32</v>
      </c>
      <c r="G1039">
        <v>16</v>
      </c>
      <c r="H1039">
        <v>1</v>
      </c>
      <c r="I1039">
        <v>4</v>
      </c>
      <c r="J1039">
        <v>41.421436309999997</v>
      </c>
      <c r="K1039">
        <v>18.74225998</v>
      </c>
      <c r="L1039">
        <v>18.74225998</v>
      </c>
      <c r="M1039">
        <v>2.9307808880000001</v>
      </c>
      <c r="N1039">
        <v>1</v>
      </c>
      <c r="O1039">
        <v>2.9307808880000001</v>
      </c>
    </row>
    <row r="1040" spans="1:15">
      <c r="A1040">
        <v>5.0658815000000003E-2</v>
      </c>
      <c r="B1040">
        <v>0.65096092299999997</v>
      </c>
      <c r="C1040">
        <v>2.5329407000000002E-2</v>
      </c>
      <c r="D1040">
        <v>0.49819698699999998</v>
      </c>
      <c r="E1040">
        <v>7</v>
      </c>
      <c r="F1040">
        <v>41</v>
      </c>
      <c r="G1040">
        <v>12</v>
      </c>
      <c r="H1040">
        <v>1</v>
      </c>
      <c r="I1040">
        <v>5</v>
      </c>
      <c r="J1040">
        <v>61.378364560000001</v>
      </c>
      <c r="K1040">
        <v>21.503952030000001</v>
      </c>
      <c r="L1040">
        <v>21.503952030000001</v>
      </c>
      <c r="M1040">
        <v>3.0682368279999999</v>
      </c>
      <c r="N1040">
        <v>1</v>
      </c>
      <c r="O1040">
        <v>3.0682368279999999</v>
      </c>
    </row>
    <row r="1041" spans="1:15">
      <c r="A1041">
        <v>0.75004132599999995</v>
      </c>
      <c r="B1041">
        <v>0.25985515300000001</v>
      </c>
      <c r="C1041">
        <v>0.37502066299999998</v>
      </c>
      <c r="D1041">
        <v>0.71228260499999996</v>
      </c>
      <c r="E1041">
        <v>8</v>
      </c>
      <c r="F1041">
        <v>41</v>
      </c>
      <c r="G1041">
        <v>12</v>
      </c>
      <c r="H1041">
        <v>1</v>
      </c>
      <c r="I1041">
        <v>4</v>
      </c>
      <c r="J1041">
        <v>58.947391510000003</v>
      </c>
      <c r="K1041">
        <v>25.700248720000001</v>
      </c>
      <c r="L1041">
        <v>25.700248720000001</v>
      </c>
      <c r="M1041">
        <v>3.2465007309999998</v>
      </c>
      <c r="N1041">
        <v>1</v>
      </c>
      <c r="O1041">
        <v>3.2465007309999998</v>
      </c>
    </row>
    <row r="1042" spans="1:15">
      <c r="A1042">
        <v>0.54075000799999995</v>
      </c>
      <c r="B1042">
        <v>-0.71643902999999998</v>
      </c>
      <c r="C1042">
        <v>0.27037500399999997</v>
      </c>
      <c r="D1042">
        <v>-0.128683568</v>
      </c>
      <c r="E1042">
        <v>9</v>
      </c>
      <c r="F1042">
        <v>50</v>
      </c>
      <c r="G1042">
        <v>16</v>
      </c>
      <c r="H1042">
        <v>1</v>
      </c>
      <c r="I1042">
        <v>0</v>
      </c>
      <c r="J1042">
        <v>35.455795289999998</v>
      </c>
      <c r="K1042">
        <v>30.244499210000001</v>
      </c>
      <c r="L1042">
        <v>30.244499210000001</v>
      </c>
      <c r="M1042">
        <v>3.4093143939999999</v>
      </c>
      <c r="N1042">
        <v>1</v>
      </c>
      <c r="O1042">
        <v>3.4093143939999999</v>
      </c>
    </row>
    <row r="1043" spans="1:15">
      <c r="A1043">
        <v>3.107823E-3</v>
      </c>
      <c r="B1043">
        <v>-1.1042119429999999</v>
      </c>
      <c r="C1043">
        <v>1.553912E-3</v>
      </c>
      <c r="D1043">
        <v>-0.78244465799999996</v>
      </c>
      <c r="E1043">
        <v>0</v>
      </c>
      <c r="F1043">
        <v>30</v>
      </c>
      <c r="G1043">
        <v>10</v>
      </c>
      <c r="H1043">
        <v>0</v>
      </c>
      <c r="I1043">
        <v>2</v>
      </c>
      <c r="J1043">
        <v>20.110664369999999</v>
      </c>
      <c r="K1043">
        <v>17.018646239999999</v>
      </c>
      <c r="N1043">
        <v>0</v>
      </c>
      <c r="O1043">
        <v>0</v>
      </c>
    </row>
    <row r="1044" spans="1:15">
      <c r="A1044">
        <v>0.13932339499999999</v>
      </c>
      <c r="B1044">
        <v>-0.16169883900000001</v>
      </c>
      <c r="C1044">
        <v>6.9661696999999995E-2</v>
      </c>
      <c r="D1044">
        <v>-1.6889547000000001E-2</v>
      </c>
      <c r="E1044">
        <v>1</v>
      </c>
      <c r="F1044">
        <v>53</v>
      </c>
      <c r="G1044">
        <v>10</v>
      </c>
      <c r="H1044">
        <v>0</v>
      </c>
      <c r="I1044">
        <v>0</v>
      </c>
      <c r="J1044">
        <v>28.4973259</v>
      </c>
      <c r="K1044">
        <v>22.435939789999999</v>
      </c>
      <c r="N1044">
        <v>0</v>
      </c>
      <c r="O1044">
        <v>0</v>
      </c>
    </row>
    <row r="1045" spans="1:15">
      <c r="A1045">
        <v>-0.86266715199999999</v>
      </c>
      <c r="B1045">
        <v>0.56180404799999994</v>
      </c>
      <c r="C1045">
        <v>-0.431333576</v>
      </c>
      <c r="D1045">
        <v>-0.20765736700000001</v>
      </c>
      <c r="E1045">
        <v>2</v>
      </c>
      <c r="F1045">
        <v>38</v>
      </c>
      <c r="G1045">
        <v>10</v>
      </c>
      <c r="H1045">
        <v>0</v>
      </c>
      <c r="I1045">
        <v>3</v>
      </c>
      <c r="J1045">
        <v>35.208110810000001</v>
      </c>
      <c r="K1045">
        <v>13.423996929999999</v>
      </c>
      <c r="L1045">
        <v>13.423996929999999</v>
      </c>
      <c r="M1045">
        <v>2.5970439910000001</v>
      </c>
      <c r="N1045">
        <v>1</v>
      </c>
      <c r="O1045">
        <v>2.5970439910000001</v>
      </c>
    </row>
    <row r="1046" spans="1:15">
      <c r="A1046">
        <v>-1.042890785</v>
      </c>
      <c r="B1046">
        <v>-2.4376869970000001</v>
      </c>
      <c r="C1046">
        <v>-0.52144539199999995</v>
      </c>
      <c r="D1046">
        <v>-2.4658184140000001</v>
      </c>
      <c r="E1046">
        <v>3</v>
      </c>
      <c r="F1046">
        <v>26</v>
      </c>
      <c r="G1046">
        <v>16</v>
      </c>
      <c r="H1046">
        <v>1</v>
      </c>
      <c r="I1046">
        <v>1</v>
      </c>
      <c r="J1046">
        <v>2.8101789949999998</v>
      </c>
      <c r="K1046">
        <v>15.94265556</v>
      </c>
      <c r="N1046">
        <v>0</v>
      </c>
      <c r="O1046">
        <v>0</v>
      </c>
    </row>
    <row r="1047" spans="1:15">
      <c r="A1047">
        <v>0.71182644299999998</v>
      </c>
      <c r="B1047">
        <v>-0.79712044400000004</v>
      </c>
      <c r="C1047">
        <v>0.355913221</v>
      </c>
      <c r="D1047">
        <v>-6.5666309000000006E-2</v>
      </c>
      <c r="E1047">
        <v>4</v>
      </c>
      <c r="F1047">
        <v>33</v>
      </c>
      <c r="G1047">
        <v>10</v>
      </c>
      <c r="H1047">
        <v>0</v>
      </c>
      <c r="I1047">
        <v>2</v>
      </c>
      <c r="J1047">
        <v>29.912004469999999</v>
      </c>
      <c r="K1047">
        <v>21.870958330000001</v>
      </c>
      <c r="L1047">
        <v>21.870958330000001</v>
      </c>
      <c r="M1047">
        <v>3.0851595399999998</v>
      </c>
      <c r="N1047">
        <v>1</v>
      </c>
      <c r="O1047">
        <v>3.0851595399999998</v>
      </c>
    </row>
    <row r="1048" spans="1:15">
      <c r="A1048">
        <v>-0.101223757</v>
      </c>
      <c r="B1048">
        <v>0.123126359</v>
      </c>
      <c r="C1048">
        <v>-5.0611877999999999E-2</v>
      </c>
      <c r="D1048">
        <v>1.6282827E-2</v>
      </c>
      <c r="E1048">
        <v>5</v>
      </c>
      <c r="F1048">
        <v>32</v>
      </c>
      <c r="G1048">
        <v>10</v>
      </c>
      <c r="H1048">
        <v>1</v>
      </c>
      <c r="I1048">
        <v>1</v>
      </c>
      <c r="J1048">
        <v>30.495393750000002</v>
      </c>
      <c r="K1048">
        <v>16.792657850000001</v>
      </c>
      <c r="L1048">
        <v>16.792657850000001</v>
      </c>
      <c r="M1048">
        <v>2.8209416869999999</v>
      </c>
      <c r="N1048">
        <v>1</v>
      </c>
      <c r="O1048">
        <v>2.8209416869999999</v>
      </c>
    </row>
    <row r="1049" spans="1:15">
      <c r="A1049">
        <v>1.3567451479999999</v>
      </c>
      <c r="B1049">
        <v>-1.1425921939999999</v>
      </c>
      <c r="C1049">
        <v>0.67837257399999995</v>
      </c>
      <c r="D1049">
        <v>0.14253204799999999</v>
      </c>
      <c r="E1049">
        <v>6</v>
      </c>
      <c r="F1049">
        <v>36</v>
      </c>
      <c r="G1049">
        <v>12</v>
      </c>
      <c r="H1049">
        <v>0</v>
      </c>
      <c r="I1049">
        <v>3</v>
      </c>
      <c r="J1049">
        <v>40.110385890000003</v>
      </c>
      <c r="K1049">
        <v>28.340471269999998</v>
      </c>
      <c r="L1049">
        <v>28.340471269999998</v>
      </c>
      <c r="M1049">
        <v>3.344290972</v>
      </c>
      <c r="N1049">
        <v>1</v>
      </c>
      <c r="O1049">
        <v>3.344290972</v>
      </c>
    </row>
    <row r="1050" spans="1:15">
      <c r="A1050">
        <v>-0.14542203300000001</v>
      </c>
      <c r="B1050">
        <v>-0.13186666499999999</v>
      </c>
      <c r="C1050">
        <v>-7.2711016000000003E-2</v>
      </c>
      <c r="D1050">
        <v>-0.19600246499999999</v>
      </c>
      <c r="E1050">
        <v>7</v>
      </c>
      <c r="F1050">
        <v>35</v>
      </c>
      <c r="G1050">
        <v>16</v>
      </c>
      <c r="H1050">
        <v>1</v>
      </c>
      <c r="I1050">
        <v>1</v>
      </c>
      <c r="J1050">
        <v>33.647972109999998</v>
      </c>
      <c r="K1050">
        <v>23.127468109999999</v>
      </c>
      <c r="L1050">
        <v>23.127468109999999</v>
      </c>
      <c r="M1050">
        <v>3.141021013</v>
      </c>
      <c r="N1050">
        <v>1</v>
      </c>
      <c r="O1050">
        <v>3.141021013</v>
      </c>
    </row>
    <row r="1051" spans="1:15">
      <c r="A1051">
        <v>7.8005245000000001E-2</v>
      </c>
      <c r="B1051">
        <v>-0.41083860799999999</v>
      </c>
      <c r="C1051">
        <v>3.9002622000000001E-2</v>
      </c>
      <c r="D1051">
        <v>-0.23705902300000001</v>
      </c>
      <c r="E1051">
        <v>8</v>
      </c>
      <c r="F1051">
        <v>38</v>
      </c>
      <c r="G1051">
        <v>16</v>
      </c>
      <c r="H1051">
        <v>1</v>
      </c>
      <c r="I1051">
        <v>3</v>
      </c>
      <c r="J1051">
        <v>44.355293269999997</v>
      </c>
      <c r="K1051">
        <v>25.068031309999999</v>
      </c>
      <c r="L1051">
        <v>25.068031309999999</v>
      </c>
      <c r="M1051">
        <v>3.2215933799999998</v>
      </c>
      <c r="N1051">
        <v>1</v>
      </c>
      <c r="O1051">
        <v>3.2215933799999998</v>
      </c>
    </row>
    <row r="1052" spans="1:15">
      <c r="A1052">
        <v>-0.16956765400000001</v>
      </c>
      <c r="B1052">
        <v>-0.31188063900000002</v>
      </c>
      <c r="C1052">
        <v>-8.4783827000000006E-2</v>
      </c>
      <c r="D1052">
        <v>-0.34090261900000002</v>
      </c>
      <c r="E1052">
        <v>9</v>
      </c>
      <c r="F1052">
        <v>56</v>
      </c>
      <c r="G1052">
        <v>12</v>
      </c>
      <c r="H1052">
        <v>1</v>
      </c>
      <c r="I1052">
        <v>4</v>
      </c>
      <c r="J1052">
        <v>52.309169769999997</v>
      </c>
      <c r="K1052">
        <v>23.182594300000002</v>
      </c>
      <c r="L1052">
        <v>23.182594300000002</v>
      </c>
      <c r="M1052">
        <v>3.1434018610000001</v>
      </c>
      <c r="N1052">
        <v>1</v>
      </c>
      <c r="O1052">
        <v>3.1434018610000001</v>
      </c>
    </row>
    <row r="1053" spans="1:15">
      <c r="A1053">
        <v>0.170260628</v>
      </c>
      <c r="B1053">
        <v>3.9745396000000002E-2</v>
      </c>
      <c r="C1053">
        <v>8.5130313999999999E-2</v>
      </c>
      <c r="D1053">
        <v>0.14801624399999999</v>
      </c>
      <c r="E1053">
        <v>0</v>
      </c>
      <c r="F1053">
        <v>27</v>
      </c>
      <c r="G1053">
        <v>10</v>
      </c>
      <c r="H1053">
        <v>0</v>
      </c>
      <c r="I1053">
        <v>3</v>
      </c>
      <c r="J1053">
        <v>35.07619476</v>
      </c>
      <c r="K1053">
        <v>17.421564100000001</v>
      </c>
      <c r="L1053">
        <v>17.421564100000001</v>
      </c>
      <c r="M1053">
        <v>2.8577086930000002</v>
      </c>
      <c r="N1053">
        <v>1</v>
      </c>
      <c r="O1053">
        <v>2.8577086930000002</v>
      </c>
    </row>
    <row r="1054" spans="1:15">
      <c r="A1054">
        <v>0.67731593599999995</v>
      </c>
      <c r="B1054">
        <v>0.73404060800000004</v>
      </c>
      <c r="C1054">
        <v>0.33865796799999998</v>
      </c>
      <c r="D1054">
        <v>0.99806887300000002</v>
      </c>
      <c r="E1054">
        <v>1</v>
      </c>
      <c r="F1054">
        <v>28</v>
      </c>
      <c r="G1054">
        <v>10</v>
      </c>
      <c r="H1054">
        <v>0</v>
      </c>
      <c r="I1054">
        <v>1</v>
      </c>
      <c r="J1054">
        <v>35.676826480000003</v>
      </c>
      <c r="K1054">
        <v>20.663896560000001</v>
      </c>
      <c r="L1054">
        <v>20.663896560000001</v>
      </c>
      <c r="M1054">
        <v>3.0283880230000002</v>
      </c>
      <c r="N1054">
        <v>1</v>
      </c>
      <c r="O1054">
        <v>3.0283880230000002</v>
      </c>
    </row>
    <row r="1055" spans="1:15">
      <c r="A1055">
        <v>-0.94639773500000002</v>
      </c>
      <c r="B1055">
        <v>-1.4278491689999999</v>
      </c>
      <c r="C1055">
        <v>-0.47319886700000002</v>
      </c>
      <c r="D1055">
        <v>-1.6803674710000001</v>
      </c>
      <c r="E1055">
        <v>2</v>
      </c>
      <c r="F1055">
        <v>26</v>
      </c>
      <c r="G1055">
        <v>10</v>
      </c>
      <c r="H1055">
        <v>0</v>
      </c>
      <c r="I1055">
        <v>0</v>
      </c>
      <c r="J1055">
        <v>-2.2644095420000001</v>
      </c>
      <c r="K1055">
        <v>10.52161312</v>
      </c>
      <c r="N1055">
        <v>0</v>
      </c>
      <c r="O1055">
        <v>0</v>
      </c>
    </row>
    <row r="1056" spans="1:15">
      <c r="A1056">
        <v>1.3634096229999999</v>
      </c>
      <c r="B1056">
        <v>0.48048219800000003</v>
      </c>
      <c r="C1056">
        <v>0.68170481100000002</v>
      </c>
      <c r="D1056">
        <v>1.300544549</v>
      </c>
      <c r="E1056">
        <v>3</v>
      </c>
      <c r="F1056">
        <v>28</v>
      </c>
      <c r="G1056">
        <v>10</v>
      </c>
      <c r="H1056">
        <v>1</v>
      </c>
      <c r="I1056">
        <v>1</v>
      </c>
      <c r="J1056">
        <v>44.306533809999998</v>
      </c>
      <c r="K1056">
        <v>24.780458450000001</v>
      </c>
      <c r="L1056">
        <v>24.780458450000001</v>
      </c>
      <c r="M1056">
        <v>3.2100553509999998</v>
      </c>
      <c r="N1056">
        <v>1</v>
      </c>
      <c r="O1056">
        <v>3.2100553509999998</v>
      </c>
    </row>
    <row r="1057" spans="1:15">
      <c r="A1057">
        <v>0.61291309500000002</v>
      </c>
      <c r="B1057">
        <v>0.76316575099999995</v>
      </c>
      <c r="C1057">
        <v>0.30645654700000002</v>
      </c>
      <c r="D1057">
        <v>0.97345887900000005</v>
      </c>
      <c r="E1057">
        <v>4</v>
      </c>
      <c r="F1057">
        <v>31</v>
      </c>
      <c r="G1057">
        <v>16</v>
      </c>
      <c r="H1057">
        <v>1</v>
      </c>
      <c r="I1057">
        <v>1</v>
      </c>
      <c r="J1057">
        <v>46.081504819999999</v>
      </c>
      <c r="K1057">
        <v>26.877477649999999</v>
      </c>
      <c r="L1057">
        <v>26.877477649999999</v>
      </c>
      <c r="M1057">
        <v>3.2912886139999999</v>
      </c>
      <c r="N1057">
        <v>1</v>
      </c>
      <c r="O1057">
        <v>3.2912886139999999</v>
      </c>
    </row>
    <row r="1058" spans="1:15">
      <c r="A1058">
        <v>0.77025978900000003</v>
      </c>
      <c r="B1058">
        <v>-0.38149069600000002</v>
      </c>
      <c r="C1058">
        <v>0.385129895</v>
      </c>
      <c r="D1058">
        <v>0.27077823299999998</v>
      </c>
      <c r="E1058">
        <v>5</v>
      </c>
      <c r="F1058">
        <v>39</v>
      </c>
      <c r="G1058">
        <v>16</v>
      </c>
      <c r="H1058">
        <v>0</v>
      </c>
      <c r="I1058">
        <v>2</v>
      </c>
      <c r="J1058">
        <v>40.849338529999997</v>
      </c>
      <c r="K1058">
        <v>29.42155838</v>
      </c>
      <c r="L1058">
        <v>29.42155838</v>
      </c>
      <c r="M1058">
        <v>3.3817276949999999</v>
      </c>
      <c r="N1058">
        <v>1</v>
      </c>
      <c r="O1058">
        <v>3.3817276949999999</v>
      </c>
    </row>
    <row r="1059" spans="1:15">
      <c r="A1059">
        <v>-0.1522347</v>
      </c>
      <c r="B1059">
        <v>0.34329705700000002</v>
      </c>
      <c r="C1059">
        <v>-7.611735E-2</v>
      </c>
      <c r="D1059">
        <v>0.13684684</v>
      </c>
      <c r="E1059">
        <v>6</v>
      </c>
      <c r="F1059">
        <v>32</v>
      </c>
      <c r="G1059">
        <v>16</v>
      </c>
      <c r="H1059">
        <v>1</v>
      </c>
      <c r="I1059">
        <v>1</v>
      </c>
      <c r="J1059">
        <v>36.442161560000002</v>
      </c>
      <c r="K1059">
        <v>22.48659134</v>
      </c>
      <c r="L1059">
        <v>22.48659134</v>
      </c>
      <c r="M1059">
        <v>3.1129190919999998</v>
      </c>
      <c r="N1059">
        <v>1</v>
      </c>
      <c r="O1059">
        <v>3.1129190919999998</v>
      </c>
    </row>
    <row r="1060" spans="1:15">
      <c r="A1060">
        <v>0.84847086400000005</v>
      </c>
      <c r="B1060">
        <v>1.1924832599999999</v>
      </c>
      <c r="C1060">
        <v>0.42423543200000002</v>
      </c>
      <c r="D1060">
        <v>1.4442321339999999</v>
      </c>
      <c r="E1060">
        <v>7</v>
      </c>
      <c r="F1060">
        <v>35</v>
      </c>
      <c r="G1060">
        <v>16</v>
      </c>
      <c r="H1060">
        <v>1</v>
      </c>
      <c r="I1060">
        <v>1</v>
      </c>
      <c r="J1060">
        <v>53.330783840000002</v>
      </c>
      <c r="K1060">
        <v>29.090826029999999</v>
      </c>
      <c r="L1060">
        <v>29.090826029999999</v>
      </c>
      <c r="M1060">
        <v>3.3704228399999998</v>
      </c>
      <c r="N1060">
        <v>1</v>
      </c>
      <c r="O1060">
        <v>3.3704228399999998</v>
      </c>
    </row>
    <row r="1061" spans="1:15">
      <c r="A1061">
        <v>-1.171851457</v>
      </c>
      <c r="B1061">
        <v>-7.2998009999999999E-3</v>
      </c>
      <c r="C1061">
        <v>-0.58592572799999998</v>
      </c>
      <c r="D1061">
        <v>-0.82955436800000004</v>
      </c>
      <c r="E1061">
        <v>8</v>
      </c>
      <c r="F1061">
        <v>40</v>
      </c>
      <c r="G1061">
        <v>16</v>
      </c>
      <c r="H1061">
        <v>1</v>
      </c>
      <c r="I1061">
        <v>2</v>
      </c>
      <c r="J1061">
        <v>33.045349119999997</v>
      </c>
      <c r="K1061">
        <v>17.96889114</v>
      </c>
      <c r="L1061">
        <v>17.96889114</v>
      </c>
      <c r="M1061">
        <v>2.8886420730000002</v>
      </c>
      <c r="N1061">
        <v>1</v>
      </c>
      <c r="O1061">
        <v>2.8886420730000002</v>
      </c>
    </row>
    <row r="1062" spans="1:15">
      <c r="A1062">
        <v>1.2863935339999999</v>
      </c>
      <c r="B1062">
        <v>-0.74260205099999999</v>
      </c>
      <c r="C1062">
        <v>0.64319676699999995</v>
      </c>
      <c r="D1062">
        <v>0.37726650099999998</v>
      </c>
      <c r="E1062">
        <v>9</v>
      </c>
      <c r="F1062">
        <v>46</v>
      </c>
      <c r="G1062">
        <v>16</v>
      </c>
      <c r="H1062">
        <v>1</v>
      </c>
      <c r="I1062">
        <v>2</v>
      </c>
      <c r="J1062">
        <v>49.927196500000001</v>
      </c>
      <c r="K1062">
        <v>33.918361660000002</v>
      </c>
      <c r="L1062">
        <v>33.918361660000002</v>
      </c>
      <c r="M1062">
        <v>3.5239565370000001</v>
      </c>
      <c r="N1062">
        <v>1</v>
      </c>
      <c r="O1062">
        <v>3.5239565370000001</v>
      </c>
    </row>
    <row r="1063" spans="1:15">
      <c r="A1063">
        <v>1.183075254</v>
      </c>
      <c r="B1063">
        <v>-0.93643784200000002</v>
      </c>
      <c r="C1063">
        <v>0.59153762700000001</v>
      </c>
      <c r="D1063">
        <v>0.16684891800000001</v>
      </c>
      <c r="E1063">
        <v>0</v>
      </c>
      <c r="F1063">
        <v>40</v>
      </c>
      <c r="G1063">
        <v>10</v>
      </c>
      <c r="H1063">
        <v>1</v>
      </c>
      <c r="I1063">
        <v>0</v>
      </c>
      <c r="J1063">
        <v>30.502187729999999</v>
      </c>
      <c r="K1063">
        <v>26.098451610000001</v>
      </c>
      <c r="L1063">
        <v>26.098451610000001</v>
      </c>
      <c r="M1063">
        <v>3.2618761059999999</v>
      </c>
      <c r="N1063">
        <v>1</v>
      </c>
      <c r="O1063">
        <v>3.2618761059999999</v>
      </c>
    </row>
    <row r="1064" spans="1:15">
      <c r="A1064">
        <v>-0.93850616200000003</v>
      </c>
      <c r="B1064">
        <v>0.71388547400000002</v>
      </c>
      <c r="C1064">
        <v>-0.46925308100000002</v>
      </c>
      <c r="D1064">
        <v>-0.15294213300000001</v>
      </c>
      <c r="E1064">
        <v>1</v>
      </c>
      <c r="F1064">
        <v>49</v>
      </c>
      <c r="G1064">
        <v>10</v>
      </c>
      <c r="H1064">
        <v>0</v>
      </c>
      <c r="I1064">
        <v>1</v>
      </c>
      <c r="J1064">
        <v>30.264694209999998</v>
      </c>
      <c r="K1064">
        <v>15.16896343</v>
      </c>
      <c r="L1064">
        <v>15.16896343</v>
      </c>
      <c r="M1064">
        <v>2.719251394</v>
      </c>
      <c r="N1064">
        <v>1</v>
      </c>
      <c r="O1064">
        <v>2.719251394</v>
      </c>
    </row>
    <row r="1065" spans="1:15">
      <c r="A1065">
        <v>0.284901083</v>
      </c>
      <c r="B1065">
        <v>-0.101978709</v>
      </c>
      <c r="C1065">
        <v>0.14245054200000001</v>
      </c>
      <c r="D1065">
        <v>0.12795653200000001</v>
      </c>
      <c r="E1065">
        <v>2</v>
      </c>
      <c r="F1065">
        <v>27</v>
      </c>
      <c r="G1065">
        <v>10</v>
      </c>
      <c r="H1065">
        <v>1</v>
      </c>
      <c r="I1065">
        <v>3</v>
      </c>
      <c r="J1065">
        <v>39.835479739999997</v>
      </c>
      <c r="K1065">
        <v>18.10940742</v>
      </c>
      <c r="L1065">
        <v>18.10940742</v>
      </c>
      <c r="M1065">
        <v>2.8964314459999998</v>
      </c>
      <c r="N1065">
        <v>1</v>
      </c>
      <c r="O1065">
        <v>2.8964314459999998</v>
      </c>
    </row>
    <row r="1066" spans="1:15">
      <c r="A1066">
        <v>5.3389799000000002E-2</v>
      </c>
      <c r="B1066">
        <v>0.72448273100000005</v>
      </c>
      <c r="C1066">
        <v>2.6694900000000001E-2</v>
      </c>
      <c r="D1066">
        <v>0.55236129199999995</v>
      </c>
      <c r="E1066">
        <v>3</v>
      </c>
      <c r="F1066">
        <v>31</v>
      </c>
      <c r="G1066">
        <v>12</v>
      </c>
      <c r="H1066">
        <v>1</v>
      </c>
      <c r="I1066">
        <v>0</v>
      </c>
      <c r="J1066">
        <v>33.028335570000003</v>
      </c>
      <c r="K1066">
        <v>19.52033806</v>
      </c>
      <c r="L1066">
        <v>19.52033806</v>
      </c>
      <c r="M1066">
        <v>2.971457005</v>
      </c>
      <c r="N1066">
        <v>1</v>
      </c>
      <c r="O1066">
        <v>2.971457005</v>
      </c>
    </row>
    <row r="1067" spans="1:15">
      <c r="A1067">
        <v>2.5016316160000001</v>
      </c>
      <c r="B1067">
        <v>-0.91049908700000004</v>
      </c>
      <c r="C1067">
        <v>1.250815808</v>
      </c>
      <c r="D1067">
        <v>1.112850871</v>
      </c>
      <c r="E1067">
        <v>4</v>
      </c>
      <c r="F1067">
        <v>49</v>
      </c>
      <c r="G1067">
        <v>20</v>
      </c>
      <c r="H1067">
        <v>1</v>
      </c>
      <c r="I1067">
        <v>2</v>
      </c>
      <c r="J1067">
        <v>62.95421219</v>
      </c>
      <c r="K1067">
        <v>45.809791560000001</v>
      </c>
      <c r="L1067">
        <v>45.809791560000001</v>
      </c>
      <c r="M1067">
        <v>3.8244979379999999</v>
      </c>
      <c r="N1067">
        <v>1</v>
      </c>
      <c r="O1067">
        <v>3.8244979379999999</v>
      </c>
    </row>
    <row r="1068" spans="1:15">
      <c r="A1068">
        <v>-0.84065856800000005</v>
      </c>
      <c r="B1068">
        <v>0.94753824499999995</v>
      </c>
      <c r="C1068">
        <v>-0.42032928400000003</v>
      </c>
      <c r="D1068">
        <v>8.1920114000000002E-2</v>
      </c>
      <c r="E1068">
        <v>5</v>
      </c>
      <c r="F1068">
        <v>55</v>
      </c>
      <c r="G1068">
        <v>12</v>
      </c>
      <c r="H1068">
        <v>1</v>
      </c>
      <c r="I1068">
        <v>1</v>
      </c>
      <c r="J1068">
        <v>41.983039859999998</v>
      </c>
      <c r="K1068">
        <v>18.956048970000001</v>
      </c>
      <c r="L1068">
        <v>18.956048970000001</v>
      </c>
      <c r="M1068">
        <v>2.9421231749999999</v>
      </c>
      <c r="N1068">
        <v>1</v>
      </c>
      <c r="O1068">
        <v>2.9421231749999999</v>
      </c>
    </row>
    <row r="1069" spans="1:15">
      <c r="A1069">
        <v>0.69956907199999996</v>
      </c>
      <c r="B1069">
        <v>-0.96553731200000004</v>
      </c>
      <c r="C1069">
        <v>0.34978453599999998</v>
      </c>
      <c r="D1069">
        <v>-0.19396271200000001</v>
      </c>
      <c r="E1069">
        <v>6</v>
      </c>
      <c r="F1069">
        <v>44</v>
      </c>
      <c r="G1069">
        <v>16</v>
      </c>
      <c r="H1069">
        <v>1</v>
      </c>
      <c r="I1069">
        <v>2</v>
      </c>
      <c r="J1069">
        <v>42.272445679999997</v>
      </c>
      <c r="K1069">
        <v>29.997413640000001</v>
      </c>
      <c r="L1069">
        <v>29.997413640000001</v>
      </c>
      <c r="M1069">
        <v>3.401111126</v>
      </c>
      <c r="N1069">
        <v>1</v>
      </c>
      <c r="O1069">
        <v>3.401111126</v>
      </c>
    </row>
    <row r="1070" spans="1:15">
      <c r="A1070">
        <v>0.22259073500000001</v>
      </c>
      <c r="B1070">
        <v>-1.7575080919999999</v>
      </c>
      <c r="C1070">
        <v>0.11129536800000001</v>
      </c>
      <c r="D1070">
        <v>-1.0922632729999999</v>
      </c>
      <c r="E1070">
        <v>7</v>
      </c>
      <c r="F1070">
        <v>35</v>
      </c>
      <c r="G1070">
        <v>20</v>
      </c>
      <c r="H1070">
        <v>1</v>
      </c>
      <c r="I1070">
        <v>2</v>
      </c>
      <c r="J1070">
        <v>30.89284134</v>
      </c>
      <c r="K1070">
        <v>29.335544590000001</v>
      </c>
      <c r="L1070">
        <v>29.335544590000001</v>
      </c>
      <c r="M1070">
        <v>3.3787999150000001</v>
      </c>
      <c r="N1070">
        <v>1</v>
      </c>
      <c r="O1070">
        <v>3.3787999150000001</v>
      </c>
    </row>
    <row r="1071" spans="1:15">
      <c r="A1071">
        <v>1.4285375650000001</v>
      </c>
      <c r="B1071">
        <v>-4.2443702999999999E-2</v>
      </c>
      <c r="C1071">
        <v>0.71426878299999996</v>
      </c>
      <c r="D1071">
        <v>0.97477968500000001</v>
      </c>
      <c r="E1071">
        <v>8</v>
      </c>
      <c r="F1071">
        <v>42</v>
      </c>
      <c r="G1071">
        <v>16</v>
      </c>
      <c r="H1071">
        <v>1</v>
      </c>
      <c r="I1071">
        <v>0</v>
      </c>
      <c r="J1071">
        <v>45.497356410000002</v>
      </c>
      <c r="K1071">
        <v>33.971225740000001</v>
      </c>
      <c r="L1071">
        <v>33.971225740000001</v>
      </c>
      <c r="M1071">
        <v>3.5255138869999998</v>
      </c>
      <c r="N1071">
        <v>1</v>
      </c>
      <c r="O1071">
        <v>3.5255138869999998</v>
      </c>
    </row>
    <row r="1072" spans="1:15">
      <c r="A1072">
        <v>-0.90507525300000002</v>
      </c>
      <c r="B1072">
        <v>1.835455335</v>
      </c>
      <c r="C1072">
        <v>-0.45253762600000003</v>
      </c>
      <c r="D1072">
        <v>0.66754077000000001</v>
      </c>
      <c r="E1072">
        <v>9</v>
      </c>
      <c r="F1072">
        <v>38</v>
      </c>
      <c r="G1072">
        <v>12</v>
      </c>
      <c r="H1072">
        <v>1</v>
      </c>
      <c r="I1072">
        <v>1</v>
      </c>
      <c r="J1072">
        <v>42.210487370000003</v>
      </c>
      <c r="K1072">
        <v>15.16954803</v>
      </c>
      <c r="L1072">
        <v>15.16954803</v>
      </c>
      <c r="M1072">
        <v>2.7192900180000001</v>
      </c>
      <c r="N1072">
        <v>1</v>
      </c>
      <c r="O1072">
        <v>2.7192900180000001</v>
      </c>
    </row>
    <row r="1073" spans="1:15">
      <c r="A1073">
        <v>-0.57866432400000001</v>
      </c>
      <c r="B1073">
        <v>2.8785762999999999E-2</v>
      </c>
      <c r="C1073">
        <v>-0.289332162</v>
      </c>
      <c r="D1073">
        <v>-0.38662083899999999</v>
      </c>
      <c r="E1073">
        <v>0</v>
      </c>
      <c r="F1073">
        <v>26</v>
      </c>
      <c r="G1073">
        <v>10</v>
      </c>
      <c r="H1073">
        <v>0</v>
      </c>
      <c r="I1073">
        <v>0</v>
      </c>
      <c r="J1073">
        <v>13.26054955</v>
      </c>
      <c r="K1073">
        <v>12.728013990000001</v>
      </c>
      <c r="N1073">
        <v>0</v>
      </c>
      <c r="O1073">
        <v>0</v>
      </c>
    </row>
    <row r="1074" spans="1:15">
      <c r="A1074">
        <v>0.45608325100000002</v>
      </c>
      <c r="B1074">
        <v>-1.741629431</v>
      </c>
      <c r="C1074">
        <v>0.228041625</v>
      </c>
      <c r="D1074">
        <v>-0.91672425099999999</v>
      </c>
      <c r="E1074">
        <v>1</v>
      </c>
      <c r="F1074">
        <v>25</v>
      </c>
      <c r="G1074">
        <v>10</v>
      </c>
      <c r="H1074">
        <v>1</v>
      </c>
      <c r="I1074">
        <v>0</v>
      </c>
      <c r="J1074">
        <v>11.49930859</v>
      </c>
      <c r="K1074">
        <v>18.73649979</v>
      </c>
      <c r="N1074">
        <v>0</v>
      </c>
      <c r="O1074">
        <v>0</v>
      </c>
    </row>
    <row r="1075" spans="1:15">
      <c r="A1075">
        <v>-0.54599575099999997</v>
      </c>
      <c r="B1075">
        <v>-0.46219049299999998</v>
      </c>
      <c r="C1075">
        <v>-0.272997875</v>
      </c>
      <c r="D1075">
        <v>-0.71251725200000005</v>
      </c>
      <c r="E1075">
        <v>2</v>
      </c>
      <c r="F1075">
        <v>38</v>
      </c>
      <c r="G1075">
        <v>12</v>
      </c>
      <c r="H1075">
        <v>1</v>
      </c>
      <c r="I1075">
        <v>1</v>
      </c>
      <c r="J1075">
        <v>25.649793620000001</v>
      </c>
      <c r="K1075">
        <v>17.324026109999998</v>
      </c>
      <c r="N1075">
        <v>0</v>
      </c>
      <c r="O1075">
        <v>0</v>
      </c>
    </row>
    <row r="1076" spans="1:15">
      <c r="A1076">
        <v>-1.488924857</v>
      </c>
      <c r="B1076">
        <v>-0.46371273099999999</v>
      </c>
      <c r="C1076">
        <v>-0.74446242799999995</v>
      </c>
      <c r="D1076">
        <v>-1.3769252299999999</v>
      </c>
      <c r="E1076">
        <v>3</v>
      </c>
      <c r="F1076">
        <v>30</v>
      </c>
      <c r="G1076">
        <v>16</v>
      </c>
      <c r="H1076">
        <v>0</v>
      </c>
      <c r="I1076">
        <v>1</v>
      </c>
      <c r="J1076">
        <v>12.47689724</v>
      </c>
      <c r="K1076">
        <v>14.066451069999999</v>
      </c>
      <c r="N1076">
        <v>0</v>
      </c>
      <c r="O1076">
        <v>0</v>
      </c>
    </row>
    <row r="1077" spans="1:15">
      <c r="A1077">
        <v>-0.77734655500000005</v>
      </c>
      <c r="B1077">
        <v>0.50815401500000001</v>
      </c>
      <c r="C1077">
        <v>-0.38867327800000001</v>
      </c>
      <c r="D1077">
        <v>-0.185759168</v>
      </c>
      <c r="E1077">
        <v>4</v>
      </c>
      <c r="F1077">
        <v>43</v>
      </c>
      <c r="G1077">
        <v>10</v>
      </c>
      <c r="H1077">
        <v>1</v>
      </c>
      <c r="I1077">
        <v>1</v>
      </c>
      <c r="J1077">
        <v>32.470890050000001</v>
      </c>
      <c r="K1077">
        <v>14.93592072</v>
      </c>
      <c r="L1077">
        <v>14.93592072</v>
      </c>
      <c r="M1077">
        <v>2.7037692070000001</v>
      </c>
      <c r="N1077">
        <v>1</v>
      </c>
      <c r="O1077">
        <v>2.7037692070000001</v>
      </c>
    </row>
    <row r="1078" spans="1:15">
      <c r="A1078">
        <v>0.38148078899999999</v>
      </c>
      <c r="B1078">
        <v>-0.93967034199999999</v>
      </c>
      <c r="C1078">
        <v>0.19074039400000001</v>
      </c>
      <c r="D1078">
        <v>-0.39934906399999998</v>
      </c>
      <c r="E1078">
        <v>5</v>
      </c>
      <c r="F1078">
        <v>30</v>
      </c>
      <c r="G1078">
        <v>16</v>
      </c>
      <c r="H1078">
        <v>1</v>
      </c>
      <c r="I1078">
        <v>1</v>
      </c>
      <c r="J1078">
        <v>29.207811360000001</v>
      </c>
      <c r="K1078">
        <v>25.28888512</v>
      </c>
      <c r="L1078">
        <v>25.28888512</v>
      </c>
      <c r="M1078">
        <v>3.230365038</v>
      </c>
      <c r="N1078">
        <v>1</v>
      </c>
      <c r="O1078">
        <v>3.230365038</v>
      </c>
    </row>
    <row r="1079" spans="1:15">
      <c r="A1079">
        <v>1.3517950679999999</v>
      </c>
      <c r="B1079">
        <v>0.32371528399999999</v>
      </c>
      <c r="C1079">
        <v>0.67589753399999997</v>
      </c>
      <c r="D1079">
        <v>1.1809785740000001</v>
      </c>
      <c r="E1079">
        <v>6</v>
      </c>
      <c r="F1079">
        <v>33</v>
      </c>
      <c r="G1079">
        <v>16</v>
      </c>
      <c r="H1079">
        <v>1</v>
      </c>
      <c r="I1079">
        <v>1</v>
      </c>
      <c r="J1079">
        <v>49.371742249999997</v>
      </c>
      <c r="K1079">
        <v>31.71076965</v>
      </c>
      <c r="L1079">
        <v>31.71076965</v>
      </c>
      <c r="M1079">
        <v>3.4566564560000002</v>
      </c>
      <c r="N1079">
        <v>1</v>
      </c>
      <c r="O1079">
        <v>3.4566564560000002</v>
      </c>
    </row>
    <row r="1080" spans="1:15">
      <c r="A1080">
        <v>-0.25473774599999999</v>
      </c>
      <c r="B1080">
        <v>-0.20175989699999999</v>
      </c>
      <c r="C1080">
        <v>-0.12736887299999999</v>
      </c>
      <c r="D1080">
        <v>-0.322567983</v>
      </c>
      <c r="E1080">
        <v>7</v>
      </c>
      <c r="F1080">
        <v>34</v>
      </c>
      <c r="G1080">
        <v>16</v>
      </c>
      <c r="H1080">
        <v>1</v>
      </c>
      <c r="I1080">
        <v>5</v>
      </c>
      <c r="J1080">
        <v>51.729183200000001</v>
      </c>
      <c r="K1080">
        <v>22.271574019999999</v>
      </c>
      <c r="L1080">
        <v>22.271574019999999</v>
      </c>
      <c r="M1080">
        <v>3.103311062</v>
      </c>
      <c r="N1080">
        <v>1</v>
      </c>
      <c r="O1080">
        <v>3.103311062</v>
      </c>
    </row>
    <row r="1081" spans="1:15">
      <c r="A1081">
        <v>-1.1411283780000001</v>
      </c>
      <c r="B1081">
        <v>-0.32596060799999999</v>
      </c>
      <c r="C1081">
        <v>-0.57056418900000005</v>
      </c>
      <c r="D1081">
        <v>-1.0343754730000001</v>
      </c>
      <c r="E1081">
        <v>8</v>
      </c>
      <c r="F1081">
        <v>39</v>
      </c>
      <c r="G1081">
        <v>16</v>
      </c>
      <c r="H1081">
        <v>1</v>
      </c>
      <c r="I1081">
        <v>5</v>
      </c>
      <c r="J1081">
        <v>45.187496189999997</v>
      </c>
      <c r="K1081">
        <v>17.9532299</v>
      </c>
      <c r="L1081">
        <v>17.9532299</v>
      </c>
      <c r="M1081">
        <v>2.8877699379999999</v>
      </c>
      <c r="N1081">
        <v>1</v>
      </c>
      <c r="O1081">
        <v>2.8877699379999999</v>
      </c>
    </row>
    <row r="1082" spans="1:15">
      <c r="A1082">
        <v>-0.94556847600000005</v>
      </c>
      <c r="B1082">
        <v>7.9552391E-2</v>
      </c>
      <c r="C1082">
        <v>-0.47278423800000002</v>
      </c>
      <c r="D1082">
        <v>-0.608654696</v>
      </c>
      <c r="E1082">
        <v>9</v>
      </c>
      <c r="F1082">
        <v>42</v>
      </c>
      <c r="G1082">
        <v>16</v>
      </c>
      <c r="H1082">
        <v>1</v>
      </c>
      <c r="I1082">
        <v>0</v>
      </c>
      <c r="J1082">
        <v>26.49614334</v>
      </c>
      <c r="K1082">
        <v>19.726589199999999</v>
      </c>
      <c r="N1082">
        <v>0</v>
      </c>
      <c r="O1082">
        <v>0</v>
      </c>
    </row>
    <row r="1083" spans="1:15">
      <c r="A1083">
        <v>0.185125548</v>
      </c>
      <c r="B1083">
        <v>-1.5697236109999999</v>
      </c>
      <c r="C1083">
        <v>9.2562774E-2</v>
      </c>
      <c r="D1083">
        <v>-0.98518316800000005</v>
      </c>
      <c r="E1083">
        <v>0</v>
      </c>
      <c r="F1083">
        <v>20</v>
      </c>
      <c r="G1083">
        <v>10</v>
      </c>
      <c r="H1083">
        <v>0</v>
      </c>
      <c r="I1083">
        <v>3</v>
      </c>
      <c r="J1083">
        <v>18.677801129999999</v>
      </c>
      <c r="K1083">
        <v>16.110754010000001</v>
      </c>
      <c r="N1083">
        <v>0</v>
      </c>
      <c r="O1083">
        <v>0</v>
      </c>
    </row>
    <row r="1084" spans="1:15">
      <c r="A1084">
        <v>-0.89558465799999998</v>
      </c>
      <c r="B1084">
        <v>1.005463311</v>
      </c>
      <c r="C1084">
        <v>-0.44779232899999999</v>
      </c>
      <c r="D1084">
        <v>8.4441420000000003E-2</v>
      </c>
      <c r="E1084">
        <v>1</v>
      </c>
      <c r="F1084">
        <v>22</v>
      </c>
      <c r="G1084">
        <v>16</v>
      </c>
      <c r="H1084">
        <v>0</v>
      </c>
      <c r="I1084">
        <v>3</v>
      </c>
      <c r="J1084">
        <v>36.81329727</v>
      </c>
      <c r="K1084">
        <v>16.02649117</v>
      </c>
      <c r="L1084">
        <v>16.02649117</v>
      </c>
      <c r="M1084">
        <v>2.7742431160000001</v>
      </c>
      <c r="N1084">
        <v>1</v>
      </c>
      <c r="O1084">
        <v>2.7742431160000001</v>
      </c>
    </row>
    <row r="1085" spans="1:15">
      <c r="A1085">
        <v>0.394070368</v>
      </c>
      <c r="B1085">
        <v>1.082926064</v>
      </c>
      <c r="C1085">
        <v>0.197035184</v>
      </c>
      <c r="D1085">
        <v>1.0467239509999999</v>
      </c>
      <c r="E1085">
        <v>2</v>
      </c>
      <c r="F1085">
        <v>24</v>
      </c>
      <c r="G1085">
        <v>10</v>
      </c>
      <c r="H1085">
        <v>1</v>
      </c>
      <c r="I1085">
        <v>0</v>
      </c>
      <c r="J1085">
        <v>34.660686490000003</v>
      </c>
      <c r="K1085">
        <v>18.164422989999998</v>
      </c>
      <c r="L1085">
        <v>18.164422989999998</v>
      </c>
      <c r="M1085">
        <v>2.8994648459999999</v>
      </c>
      <c r="N1085">
        <v>1</v>
      </c>
      <c r="O1085">
        <v>2.8994648459999999</v>
      </c>
    </row>
    <row r="1086" spans="1:15">
      <c r="A1086">
        <v>-1.053888428</v>
      </c>
      <c r="B1086">
        <v>4.2319168999999997E-2</v>
      </c>
      <c r="C1086">
        <v>-0.52694421400000002</v>
      </c>
      <c r="D1086">
        <v>-0.71131217199999996</v>
      </c>
      <c r="E1086">
        <v>3</v>
      </c>
      <c r="F1086">
        <v>32</v>
      </c>
      <c r="G1086">
        <v>12</v>
      </c>
      <c r="H1086">
        <v>0</v>
      </c>
      <c r="I1086">
        <v>0</v>
      </c>
      <c r="J1086">
        <v>13.26425362</v>
      </c>
      <c r="K1086">
        <v>13.076669689999999</v>
      </c>
      <c r="N1086">
        <v>0</v>
      </c>
      <c r="O1086">
        <v>0</v>
      </c>
    </row>
    <row r="1087" spans="1:15">
      <c r="A1087">
        <v>0.85960923700000003</v>
      </c>
      <c r="B1087">
        <v>-0.61450559999999999</v>
      </c>
      <c r="C1087">
        <v>0.42980461800000003</v>
      </c>
      <c r="D1087">
        <v>0.16805753300000001</v>
      </c>
      <c r="E1087">
        <v>4</v>
      </c>
      <c r="F1087">
        <v>29</v>
      </c>
      <c r="G1087">
        <v>16</v>
      </c>
      <c r="H1087">
        <v>1</v>
      </c>
      <c r="I1087">
        <v>0</v>
      </c>
      <c r="J1087">
        <v>30.61668968</v>
      </c>
      <c r="K1087">
        <v>27.957654949999998</v>
      </c>
      <c r="L1087">
        <v>27.957654949999998</v>
      </c>
      <c r="M1087">
        <v>3.330691099</v>
      </c>
      <c r="N1087">
        <v>1</v>
      </c>
      <c r="O1087">
        <v>3.330691099</v>
      </c>
    </row>
    <row r="1088" spans="1:15">
      <c r="A1088">
        <v>0.74662663299999998</v>
      </c>
      <c r="B1088">
        <v>0.83933419799999998</v>
      </c>
      <c r="C1088">
        <v>0.37331331600000001</v>
      </c>
      <c r="D1088">
        <v>1.12164668</v>
      </c>
      <c r="E1088">
        <v>5</v>
      </c>
      <c r="F1088">
        <v>35</v>
      </c>
      <c r="G1088">
        <v>10</v>
      </c>
      <c r="H1088">
        <v>1</v>
      </c>
      <c r="I1088">
        <v>0</v>
      </c>
      <c r="J1088">
        <v>39.95975876</v>
      </c>
      <c r="K1088">
        <v>22.479759219999998</v>
      </c>
      <c r="L1088">
        <v>22.479759219999998</v>
      </c>
      <c r="M1088">
        <v>3.1126153470000002</v>
      </c>
      <c r="N1088">
        <v>1</v>
      </c>
      <c r="O1088">
        <v>3.1126153470000002</v>
      </c>
    </row>
    <row r="1089" spans="1:15">
      <c r="A1089">
        <v>-1.966586323</v>
      </c>
      <c r="B1089">
        <v>1.565947175</v>
      </c>
      <c r="C1089">
        <v>-0.98329316099999997</v>
      </c>
      <c r="D1089">
        <v>-0.27071199899999998</v>
      </c>
      <c r="E1089">
        <v>6</v>
      </c>
      <c r="F1089">
        <v>37</v>
      </c>
      <c r="G1089">
        <v>16</v>
      </c>
      <c r="H1089">
        <v>1</v>
      </c>
      <c r="I1089">
        <v>4</v>
      </c>
      <c r="J1089">
        <v>48.551456450000003</v>
      </c>
      <c r="K1089">
        <v>12.60048199</v>
      </c>
      <c r="L1089">
        <v>12.60048199</v>
      </c>
      <c r="M1089">
        <v>2.533735037</v>
      </c>
      <c r="N1089">
        <v>1</v>
      </c>
      <c r="O1089">
        <v>2.533735037</v>
      </c>
    </row>
    <row r="1090" spans="1:15">
      <c r="A1090">
        <v>0.29553139</v>
      </c>
      <c r="B1090">
        <v>1.4506117439999999</v>
      </c>
      <c r="C1090">
        <v>0.147765695</v>
      </c>
      <c r="D1090">
        <v>1.238674415</v>
      </c>
      <c r="E1090">
        <v>7</v>
      </c>
      <c r="F1090">
        <v>45</v>
      </c>
      <c r="G1090">
        <v>12</v>
      </c>
      <c r="H1090">
        <v>1</v>
      </c>
      <c r="I1090">
        <v>5</v>
      </c>
      <c r="J1090">
        <v>71.864089969999995</v>
      </c>
      <c r="K1090">
        <v>23.77318764</v>
      </c>
      <c r="L1090">
        <v>23.77318764</v>
      </c>
      <c r="M1090">
        <v>3.1685583589999999</v>
      </c>
      <c r="N1090">
        <v>1</v>
      </c>
      <c r="O1090">
        <v>3.1685583589999999</v>
      </c>
    </row>
    <row r="1091" spans="1:15">
      <c r="A1091">
        <v>-0.320997333</v>
      </c>
      <c r="B1091">
        <v>0.66919075800000005</v>
      </c>
      <c r="C1091">
        <v>-0.16049866700000001</v>
      </c>
      <c r="D1091">
        <v>0.249700229</v>
      </c>
      <c r="E1091">
        <v>8</v>
      </c>
      <c r="F1091">
        <v>43</v>
      </c>
      <c r="G1091">
        <v>16</v>
      </c>
      <c r="H1091">
        <v>1</v>
      </c>
      <c r="I1091">
        <v>1</v>
      </c>
      <c r="J1091">
        <v>42.196403500000002</v>
      </c>
      <c r="K1091">
        <v>23.674016949999999</v>
      </c>
      <c r="L1091">
        <v>23.674016949999999</v>
      </c>
      <c r="M1091">
        <v>3.1643781660000001</v>
      </c>
      <c r="N1091">
        <v>1</v>
      </c>
      <c r="O1091">
        <v>3.1643781660000001</v>
      </c>
    </row>
    <row r="1092" spans="1:15">
      <c r="A1092">
        <v>0.46241884999999999</v>
      </c>
      <c r="B1092">
        <v>1.1453341859999999</v>
      </c>
      <c r="C1092">
        <v>0.231209425</v>
      </c>
      <c r="D1092">
        <v>1.1391513090000001</v>
      </c>
      <c r="E1092">
        <v>9</v>
      </c>
      <c r="F1092">
        <v>43</v>
      </c>
      <c r="G1092">
        <v>12</v>
      </c>
      <c r="H1092">
        <v>1</v>
      </c>
      <c r="I1092">
        <v>3</v>
      </c>
      <c r="J1092">
        <v>59.86981583</v>
      </c>
      <c r="K1092">
        <v>24.374513629999999</v>
      </c>
      <c r="L1092">
        <v>24.374513629999999</v>
      </c>
      <c r="M1092">
        <v>3.1935379510000002</v>
      </c>
      <c r="N1092">
        <v>1</v>
      </c>
      <c r="O1092">
        <v>3.1935379510000002</v>
      </c>
    </row>
    <row r="1093" spans="1:15">
      <c r="A1093">
        <v>-0.87999015400000002</v>
      </c>
      <c r="B1093">
        <v>-0.62688785800000002</v>
      </c>
      <c r="C1093">
        <v>-0.43999507700000001</v>
      </c>
      <c r="D1093">
        <v>-1.064504356</v>
      </c>
      <c r="E1093">
        <v>0</v>
      </c>
      <c r="F1093">
        <v>28</v>
      </c>
      <c r="G1093">
        <v>10</v>
      </c>
      <c r="H1093">
        <v>0</v>
      </c>
      <c r="I1093">
        <v>2</v>
      </c>
      <c r="J1093">
        <v>15.925948139999999</v>
      </c>
      <c r="K1093">
        <v>11.32005882</v>
      </c>
      <c r="N1093">
        <v>0</v>
      </c>
      <c r="O1093">
        <v>0</v>
      </c>
    </row>
    <row r="1094" spans="1:15">
      <c r="A1094">
        <v>9.5014628000000004E-2</v>
      </c>
      <c r="B1094">
        <v>0.47412106399999998</v>
      </c>
      <c r="C1094">
        <v>4.7507314000000002E-2</v>
      </c>
      <c r="D1094">
        <v>0.40374128999999997</v>
      </c>
      <c r="E1094">
        <v>1</v>
      </c>
      <c r="F1094">
        <v>32</v>
      </c>
      <c r="G1094">
        <v>20</v>
      </c>
      <c r="H1094">
        <v>1</v>
      </c>
      <c r="I1094">
        <v>0</v>
      </c>
      <c r="J1094">
        <v>37.64489365</v>
      </c>
      <c r="K1094">
        <v>27.97008705</v>
      </c>
      <c r="L1094">
        <v>27.97008705</v>
      </c>
      <c r="M1094">
        <v>3.3311355109999998</v>
      </c>
      <c r="N1094">
        <v>1</v>
      </c>
      <c r="O1094">
        <v>3.3311355109999998</v>
      </c>
    </row>
    <row r="1095" spans="1:15">
      <c r="A1095">
        <v>1.0533751140000001</v>
      </c>
      <c r="B1095">
        <v>1.8853446819999999</v>
      </c>
      <c r="C1095">
        <v>0.52668755700000003</v>
      </c>
      <c r="D1095">
        <v>2.080710463</v>
      </c>
      <c r="E1095">
        <v>2</v>
      </c>
      <c r="F1095">
        <v>29</v>
      </c>
      <c r="G1095">
        <v>10</v>
      </c>
      <c r="H1095">
        <v>1</v>
      </c>
      <c r="I1095">
        <v>3</v>
      </c>
      <c r="J1095">
        <v>64.068527219999993</v>
      </c>
      <c r="K1095">
        <v>23.1202507</v>
      </c>
      <c r="L1095">
        <v>23.1202507</v>
      </c>
      <c r="M1095">
        <v>3.140708923</v>
      </c>
      <c r="N1095">
        <v>1</v>
      </c>
      <c r="O1095">
        <v>3.140708923</v>
      </c>
    </row>
    <row r="1096" spans="1:15">
      <c r="A1096">
        <v>1.4039956840000001</v>
      </c>
      <c r="B1096">
        <v>-0.29057303800000001</v>
      </c>
      <c r="C1096">
        <v>0.70199784200000004</v>
      </c>
      <c r="D1096">
        <v>0.78119936000000001</v>
      </c>
      <c r="E1096">
        <v>3</v>
      </c>
      <c r="F1096">
        <v>36</v>
      </c>
      <c r="G1096">
        <v>10</v>
      </c>
      <c r="H1096">
        <v>1</v>
      </c>
      <c r="I1096">
        <v>1</v>
      </c>
      <c r="J1096">
        <v>41.274391170000001</v>
      </c>
      <c r="K1096">
        <v>26.623973849999999</v>
      </c>
      <c r="L1096">
        <v>26.623973849999999</v>
      </c>
      <c r="M1096">
        <v>3.2818121910000002</v>
      </c>
      <c r="N1096">
        <v>1</v>
      </c>
      <c r="O1096">
        <v>3.2818121910000002</v>
      </c>
    </row>
    <row r="1097" spans="1:15">
      <c r="A1097">
        <v>-1.427773717</v>
      </c>
      <c r="B1097">
        <v>5.3247600000000004E-4</v>
      </c>
      <c r="C1097">
        <v>-0.71388685900000004</v>
      </c>
      <c r="D1097">
        <v>-1.004023618</v>
      </c>
      <c r="E1097">
        <v>4</v>
      </c>
      <c r="F1097">
        <v>29</v>
      </c>
      <c r="G1097">
        <v>12</v>
      </c>
      <c r="H1097">
        <v>1</v>
      </c>
      <c r="I1097">
        <v>2</v>
      </c>
      <c r="J1097">
        <v>23.551715850000001</v>
      </c>
      <c r="K1097">
        <v>10.23335743</v>
      </c>
      <c r="N1097">
        <v>0</v>
      </c>
      <c r="O1097">
        <v>0</v>
      </c>
    </row>
    <row r="1098" spans="1:15">
      <c r="A1098">
        <v>-2.1996543000000002</v>
      </c>
      <c r="B1098">
        <v>0.86036942400000005</v>
      </c>
      <c r="C1098">
        <v>-1.0998271500000001</v>
      </c>
      <c r="D1098">
        <v>-0.93603875400000003</v>
      </c>
      <c r="E1098">
        <v>5</v>
      </c>
      <c r="F1098">
        <v>35</v>
      </c>
      <c r="G1098">
        <v>10</v>
      </c>
      <c r="H1098">
        <v>1</v>
      </c>
      <c r="I1098">
        <v>1</v>
      </c>
      <c r="J1098">
        <v>20.267534260000001</v>
      </c>
      <c r="K1098">
        <v>4.8020744320000004</v>
      </c>
      <c r="N1098">
        <v>0</v>
      </c>
      <c r="O1098">
        <v>0</v>
      </c>
    </row>
    <row r="1099" spans="1:15">
      <c r="A1099">
        <v>1.458219304</v>
      </c>
      <c r="B1099">
        <v>-0.18808407099999999</v>
      </c>
      <c r="C1099">
        <v>0.729109652</v>
      </c>
      <c r="D1099">
        <v>0.89217089000000005</v>
      </c>
      <c r="E1099">
        <v>6</v>
      </c>
      <c r="F1099">
        <v>39</v>
      </c>
      <c r="G1099">
        <v>12</v>
      </c>
      <c r="H1099">
        <v>1</v>
      </c>
      <c r="I1099">
        <v>3</v>
      </c>
      <c r="J1099">
        <v>55.306049350000002</v>
      </c>
      <c r="K1099">
        <v>29.549316409999999</v>
      </c>
      <c r="L1099">
        <v>29.549316409999999</v>
      </c>
      <c r="M1099">
        <v>3.3860607150000002</v>
      </c>
      <c r="N1099">
        <v>1</v>
      </c>
      <c r="O1099">
        <v>3.3860607150000002</v>
      </c>
    </row>
    <row r="1100" spans="1:15">
      <c r="A1100">
        <v>0.45875569199999999</v>
      </c>
      <c r="B1100">
        <v>-0.304856183</v>
      </c>
      <c r="C1100">
        <v>0.229377846</v>
      </c>
      <c r="D1100">
        <v>0.10609808799999999</v>
      </c>
      <c r="E1100">
        <v>7</v>
      </c>
      <c r="F1100">
        <v>41</v>
      </c>
      <c r="G1100">
        <v>16</v>
      </c>
      <c r="H1100">
        <v>1</v>
      </c>
      <c r="I1100">
        <v>1</v>
      </c>
      <c r="J1100">
        <v>39.673175809999996</v>
      </c>
      <c r="K1100">
        <v>27.952533720000002</v>
      </c>
      <c r="L1100">
        <v>27.952533720000002</v>
      </c>
      <c r="M1100">
        <v>3.3305077550000002</v>
      </c>
      <c r="N1100">
        <v>1</v>
      </c>
      <c r="O1100">
        <v>3.3305077550000002</v>
      </c>
    </row>
    <row r="1101" spans="1:15">
      <c r="A1101">
        <v>-1.105265084</v>
      </c>
      <c r="B1101">
        <v>-0.45557405200000001</v>
      </c>
      <c r="C1101">
        <v>-0.552632542</v>
      </c>
      <c r="D1101">
        <v>-1.1012472929999999</v>
      </c>
      <c r="E1101">
        <v>8</v>
      </c>
      <c r="F1101">
        <v>45</v>
      </c>
      <c r="G1101">
        <v>12</v>
      </c>
      <c r="H1101">
        <v>1</v>
      </c>
      <c r="I1101">
        <v>1</v>
      </c>
      <c r="J1101">
        <v>23.785032269999999</v>
      </c>
      <c r="K1101">
        <v>15.368409160000001</v>
      </c>
      <c r="N1101">
        <v>0</v>
      </c>
      <c r="O1101">
        <v>0</v>
      </c>
    </row>
    <row r="1102" spans="1:15">
      <c r="A1102">
        <v>1.166015096</v>
      </c>
      <c r="B1102">
        <v>-1.801064201</v>
      </c>
      <c r="C1102">
        <v>0.58300754799999999</v>
      </c>
      <c r="D1102">
        <v>-0.45953866799999998</v>
      </c>
      <c r="E1102">
        <v>9</v>
      </c>
      <c r="F1102">
        <v>53</v>
      </c>
      <c r="G1102">
        <v>12</v>
      </c>
      <c r="H1102">
        <v>1</v>
      </c>
      <c r="I1102">
        <v>0</v>
      </c>
      <c r="J1102">
        <v>29.685535430000002</v>
      </c>
      <c r="K1102">
        <v>30.596090319999998</v>
      </c>
      <c r="L1102">
        <v>30.596090319999998</v>
      </c>
      <c r="M1102">
        <v>3.4208722109999998</v>
      </c>
      <c r="N1102">
        <v>1</v>
      </c>
      <c r="O1102">
        <v>3.4208722109999998</v>
      </c>
    </row>
    <row r="1103" spans="1:15">
      <c r="A1103">
        <v>-1.378979967</v>
      </c>
      <c r="B1103">
        <v>1.8167187220000001</v>
      </c>
      <c r="C1103">
        <v>-0.68948998299999997</v>
      </c>
      <c r="D1103">
        <v>0.32084716400000002</v>
      </c>
      <c r="E1103">
        <v>0</v>
      </c>
      <c r="F1103">
        <v>22</v>
      </c>
      <c r="G1103">
        <v>10</v>
      </c>
      <c r="H1103">
        <v>0</v>
      </c>
      <c r="I1103">
        <v>2</v>
      </c>
      <c r="J1103">
        <v>30.150165560000001</v>
      </c>
      <c r="K1103">
        <v>7.1261200899999997</v>
      </c>
      <c r="L1103">
        <v>7.1261200899999997</v>
      </c>
      <c r="M1103">
        <v>1.963766932</v>
      </c>
      <c r="N1103">
        <v>1</v>
      </c>
      <c r="O1103">
        <v>1.963766932</v>
      </c>
    </row>
    <row r="1104" spans="1:15">
      <c r="A1104">
        <v>-0.761232303</v>
      </c>
      <c r="B1104">
        <v>-0.87004520399999996</v>
      </c>
      <c r="C1104">
        <v>-0.38061615199999999</v>
      </c>
      <c r="D1104">
        <v>-1.1537440189999999</v>
      </c>
      <c r="E1104">
        <v>1</v>
      </c>
      <c r="F1104">
        <v>41</v>
      </c>
      <c r="G1104">
        <v>16</v>
      </c>
      <c r="H1104">
        <v>0</v>
      </c>
      <c r="I1104">
        <v>0</v>
      </c>
      <c r="J1104">
        <v>14.555071829999999</v>
      </c>
      <c r="K1104">
        <v>20.632606509999999</v>
      </c>
      <c r="N1104">
        <v>0</v>
      </c>
      <c r="O1104">
        <v>0</v>
      </c>
    </row>
    <row r="1105" spans="1:15">
      <c r="A1105">
        <v>-0.41748336699999999</v>
      </c>
      <c r="B1105">
        <v>0.82776898799999998</v>
      </c>
      <c r="C1105">
        <v>-0.20874168400000001</v>
      </c>
      <c r="D1105">
        <v>0.29450731299999999</v>
      </c>
      <c r="E1105">
        <v>2</v>
      </c>
      <c r="F1105">
        <v>46</v>
      </c>
      <c r="G1105">
        <v>10</v>
      </c>
      <c r="H1105">
        <v>0</v>
      </c>
      <c r="I1105">
        <v>3</v>
      </c>
      <c r="J1105">
        <v>44.434089659999998</v>
      </c>
      <c r="K1105">
        <v>17.69509888</v>
      </c>
      <c r="L1105">
        <v>17.69509888</v>
      </c>
      <c r="M1105">
        <v>2.8732876780000001</v>
      </c>
      <c r="N1105">
        <v>1</v>
      </c>
      <c r="O1105">
        <v>2.8732876780000001</v>
      </c>
    </row>
    <row r="1106" spans="1:15">
      <c r="A1106">
        <v>0.34219240000000001</v>
      </c>
      <c r="B1106">
        <v>0.95435608500000002</v>
      </c>
      <c r="C1106">
        <v>0.1710962</v>
      </c>
      <c r="D1106">
        <v>0.91886988199999997</v>
      </c>
      <c r="E1106">
        <v>3</v>
      </c>
      <c r="F1106">
        <v>51</v>
      </c>
      <c r="G1106">
        <v>12</v>
      </c>
      <c r="H1106">
        <v>0</v>
      </c>
      <c r="I1106">
        <v>2</v>
      </c>
      <c r="J1106">
        <v>50.426437380000003</v>
      </c>
      <c r="K1106">
        <v>25.25315475</v>
      </c>
      <c r="L1106">
        <v>25.25315475</v>
      </c>
      <c r="M1106">
        <v>3.2289509770000002</v>
      </c>
      <c r="N1106">
        <v>1</v>
      </c>
      <c r="O1106">
        <v>3.2289509770000002</v>
      </c>
    </row>
    <row r="1107" spans="1:15">
      <c r="A1107">
        <v>0.88301342999999999</v>
      </c>
      <c r="B1107">
        <v>0.15708372600000001</v>
      </c>
      <c r="C1107">
        <v>0.44150671499999999</v>
      </c>
      <c r="D1107">
        <v>0.73279772899999995</v>
      </c>
      <c r="E1107">
        <v>4</v>
      </c>
      <c r="F1107">
        <v>34</v>
      </c>
      <c r="G1107">
        <v>12</v>
      </c>
      <c r="H1107">
        <v>1</v>
      </c>
      <c r="I1107">
        <v>0</v>
      </c>
      <c r="J1107">
        <v>36.393573760000002</v>
      </c>
      <c r="K1107">
        <v>25.098079680000001</v>
      </c>
      <c r="L1107">
        <v>25.098079680000001</v>
      </c>
      <c r="M1107">
        <v>3.2227914329999998</v>
      </c>
      <c r="N1107">
        <v>1</v>
      </c>
      <c r="O1107">
        <v>3.2227914329999998</v>
      </c>
    </row>
    <row r="1108" spans="1:15">
      <c r="A1108">
        <v>-0.72961149599999997</v>
      </c>
      <c r="B1108">
        <v>-1.4437270209999999</v>
      </c>
      <c r="C1108">
        <v>-0.36480574799999999</v>
      </c>
      <c r="D1108">
        <v>-1.5391464269999999</v>
      </c>
      <c r="E1108">
        <v>5</v>
      </c>
      <c r="F1108">
        <v>32</v>
      </c>
      <c r="G1108">
        <v>12</v>
      </c>
      <c r="H1108">
        <v>1</v>
      </c>
      <c r="I1108">
        <v>3</v>
      </c>
      <c r="J1108">
        <v>23.330242160000001</v>
      </c>
      <c r="K1108">
        <v>15.02233124</v>
      </c>
      <c r="N1108">
        <v>0</v>
      </c>
      <c r="O1108">
        <v>0</v>
      </c>
    </row>
    <row r="1109" spans="1:15">
      <c r="A1109">
        <v>-0.124973076</v>
      </c>
      <c r="B1109">
        <v>-0.33392180500000002</v>
      </c>
      <c r="C1109">
        <v>-6.2486538000000001E-2</v>
      </c>
      <c r="D1109">
        <v>-0.325193495</v>
      </c>
      <c r="E1109">
        <v>6</v>
      </c>
      <c r="F1109">
        <v>32</v>
      </c>
      <c r="G1109">
        <v>16</v>
      </c>
      <c r="H1109">
        <v>1</v>
      </c>
      <c r="I1109">
        <v>1</v>
      </c>
      <c r="J1109">
        <v>30.897678379999999</v>
      </c>
      <c r="K1109">
        <v>22.650161740000001</v>
      </c>
      <c r="L1109">
        <v>22.650161740000001</v>
      </c>
      <c r="M1109">
        <v>3.120167017</v>
      </c>
      <c r="N1109">
        <v>1</v>
      </c>
      <c r="O1109">
        <v>3.120167017</v>
      </c>
    </row>
    <row r="1110" spans="1:15">
      <c r="A1110">
        <v>-1.4009219500000001</v>
      </c>
      <c r="B1110">
        <v>1.027106367</v>
      </c>
      <c r="C1110">
        <v>-0.70046097500000004</v>
      </c>
      <c r="D1110">
        <v>-0.25567120900000001</v>
      </c>
      <c r="E1110">
        <v>7</v>
      </c>
      <c r="F1110">
        <v>37</v>
      </c>
      <c r="G1110">
        <v>12</v>
      </c>
      <c r="H1110">
        <v>1</v>
      </c>
      <c r="I1110">
        <v>1</v>
      </c>
      <c r="J1110">
        <v>30.731945039999999</v>
      </c>
      <c r="K1110">
        <v>11.99446869</v>
      </c>
      <c r="L1110">
        <v>11.99446869</v>
      </c>
      <c r="M1110">
        <v>2.4844455719999998</v>
      </c>
      <c r="N1110">
        <v>1</v>
      </c>
      <c r="O1110">
        <v>2.4844455719999998</v>
      </c>
    </row>
    <row r="1111" spans="1:15">
      <c r="A1111">
        <v>-0.212683186</v>
      </c>
      <c r="B1111">
        <v>0.25050148900000002</v>
      </c>
      <c r="C1111">
        <v>-0.106341593</v>
      </c>
      <c r="D1111">
        <v>2.8384214000000001E-2</v>
      </c>
      <c r="E1111">
        <v>8</v>
      </c>
      <c r="F1111">
        <v>41</v>
      </c>
      <c r="G1111">
        <v>12</v>
      </c>
      <c r="H1111">
        <v>1</v>
      </c>
      <c r="I1111">
        <v>2</v>
      </c>
      <c r="J1111">
        <v>40.740612030000001</v>
      </c>
      <c r="K1111">
        <v>19.9239006</v>
      </c>
      <c r="L1111">
        <v>19.9239006</v>
      </c>
      <c r="M1111">
        <v>2.9919199939999999</v>
      </c>
      <c r="N1111">
        <v>1</v>
      </c>
      <c r="O1111">
        <v>2.9919199939999999</v>
      </c>
    </row>
    <row r="1112" spans="1:15">
      <c r="A1112">
        <v>0.372617372</v>
      </c>
      <c r="B1112">
        <v>-1.8734449E-2</v>
      </c>
      <c r="C1112">
        <v>0.186308686</v>
      </c>
      <c r="D1112">
        <v>0.248814386</v>
      </c>
      <c r="E1112">
        <v>9</v>
      </c>
      <c r="F1112">
        <v>42</v>
      </c>
      <c r="G1112">
        <v>12</v>
      </c>
      <c r="H1112">
        <v>1</v>
      </c>
      <c r="I1112">
        <v>2</v>
      </c>
      <c r="J1112">
        <v>43.785774230000001</v>
      </c>
      <c r="K1112">
        <v>23.63570404</v>
      </c>
      <c r="L1112">
        <v>23.63570404</v>
      </c>
      <c r="M1112">
        <v>3.1627583499999998</v>
      </c>
      <c r="N1112">
        <v>1</v>
      </c>
      <c r="O1112">
        <v>3.1627583499999998</v>
      </c>
    </row>
    <row r="1113" spans="1:15">
      <c r="A1113">
        <v>-1.8577286200000001</v>
      </c>
      <c r="B1113">
        <v>-0.34538859599999999</v>
      </c>
      <c r="C1113">
        <v>-0.92886431000000003</v>
      </c>
      <c r="D1113">
        <v>-1.552290401</v>
      </c>
      <c r="E1113">
        <v>0</v>
      </c>
      <c r="F1113">
        <v>23</v>
      </c>
      <c r="G1113">
        <v>10</v>
      </c>
      <c r="H1113">
        <v>0</v>
      </c>
      <c r="I1113">
        <v>2</v>
      </c>
      <c r="J1113">
        <v>8.0725154880000005</v>
      </c>
      <c r="K1113">
        <v>4.453628063</v>
      </c>
      <c r="N1113">
        <v>0</v>
      </c>
      <c r="O1113">
        <v>0</v>
      </c>
    </row>
    <row r="1114" spans="1:15">
      <c r="A1114">
        <v>0.15899803900000001</v>
      </c>
      <c r="B1114">
        <v>-0.17499420399999999</v>
      </c>
      <c r="C1114">
        <v>7.9499020000000004E-2</v>
      </c>
      <c r="D1114">
        <v>-1.2496363E-2</v>
      </c>
      <c r="E1114">
        <v>1</v>
      </c>
      <c r="F1114">
        <v>24</v>
      </c>
      <c r="G1114">
        <v>10</v>
      </c>
      <c r="H1114">
        <v>1</v>
      </c>
      <c r="I1114">
        <v>2</v>
      </c>
      <c r="J1114">
        <v>31.950042719999999</v>
      </c>
      <c r="K1114">
        <v>16.753988270000001</v>
      </c>
      <c r="L1114">
        <v>16.753988270000001</v>
      </c>
      <c r="M1114">
        <v>2.818636417</v>
      </c>
      <c r="N1114">
        <v>1</v>
      </c>
      <c r="O1114">
        <v>2.818636417</v>
      </c>
    </row>
    <row r="1115" spans="1:15">
      <c r="A1115">
        <v>0.28858790099999998</v>
      </c>
      <c r="B1115">
        <v>-1.2682979640000001</v>
      </c>
      <c r="C1115">
        <v>0.14429395</v>
      </c>
      <c r="D1115">
        <v>-0.69821303300000004</v>
      </c>
      <c r="E1115">
        <v>2</v>
      </c>
      <c r="F1115">
        <v>29</v>
      </c>
      <c r="G1115">
        <v>10</v>
      </c>
      <c r="H1115">
        <v>0</v>
      </c>
      <c r="I1115">
        <v>3</v>
      </c>
      <c r="J1115">
        <v>25.721443180000001</v>
      </c>
      <c r="K1115">
        <v>18.53152657</v>
      </c>
      <c r="N1115">
        <v>0</v>
      </c>
      <c r="O1115">
        <v>0</v>
      </c>
    </row>
    <row r="1116" spans="1:15">
      <c r="A1116">
        <v>-0.53053078600000003</v>
      </c>
      <c r="B1116">
        <v>0.917091345</v>
      </c>
      <c r="C1116">
        <v>-0.26526539300000002</v>
      </c>
      <c r="D1116">
        <v>0.27845205000000001</v>
      </c>
      <c r="E1116">
        <v>3</v>
      </c>
      <c r="F1116">
        <v>37</v>
      </c>
      <c r="G1116">
        <v>10</v>
      </c>
      <c r="H1116">
        <v>0</v>
      </c>
      <c r="I1116">
        <v>1</v>
      </c>
      <c r="J1116">
        <v>30.641424180000001</v>
      </c>
      <c r="K1116">
        <v>15.21681499</v>
      </c>
      <c r="L1116">
        <v>15.21681499</v>
      </c>
      <c r="M1116">
        <v>2.7224011419999998</v>
      </c>
      <c r="N1116">
        <v>1</v>
      </c>
      <c r="O1116">
        <v>2.7224011419999998</v>
      </c>
    </row>
    <row r="1117" spans="1:15">
      <c r="A1117">
        <v>2.3624222920000002</v>
      </c>
      <c r="B1117">
        <v>1.402196445</v>
      </c>
      <c r="C1117">
        <v>1.1812111460000001</v>
      </c>
      <c r="D1117">
        <v>2.6582759120000001</v>
      </c>
      <c r="E1117">
        <v>4</v>
      </c>
      <c r="F1117">
        <v>45</v>
      </c>
      <c r="G1117">
        <v>12</v>
      </c>
      <c r="H1117">
        <v>1</v>
      </c>
      <c r="I1117">
        <v>0</v>
      </c>
      <c r="J1117">
        <v>63.899311070000003</v>
      </c>
      <c r="K1117">
        <v>36.174533840000002</v>
      </c>
      <c r="L1117">
        <v>36.174533840000002</v>
      </c>
      <c r="M1117">
        <v>3.5883553030000002</v>
      </c>
      <c r="N1117">
        <v>1</v>
      </c>
      <c r="O1117">
        <v>3.5883553030000002</v>
      </c>
    </row>
    <row r="1118" spans="1:15">
      <c r="A1118">
        <v>-5.9052347999999998E-2</v>
      </c>
      <c r="B1118">
        <v>1.230380977</v>
      </c>
      <c r="C1118">
        <v>-2.9526173999999999E-2</v>
      </c>
      <c r="D1118">
        <v>0.83274232100000001</v>
      </c>
      <c r="E1118">
        <v>5</v>
      </c>
      <c r="F1118">
        <v>43</v>
      </c>
      <c r="G1118">
        <v>16</v>
      </c>
      <c r="H1118">
        <v>1</v>
      </c>
      <c r="I1118">
        <v>1</v>
      </c>
      <c r="J1118">
        <v>49.192909239999999</v>
      </c>
      <c r="K1118">
        <v>25.24568558</v>
      </c>
      <c r="L1118">
        <v>25.24568558</v>
      </c>
      <c r="M1118">
        <v>3.2286553379999998</v>
      </c>
      <c r="N1118">
        <v>1</v>
      </c>
      <c r="O1118">
        <v>3.2286553379999998</v>
      </c>
    </row>
    <row r="1119" spans="1:15">
      <c r="A1119">
        <v>-0.49932428699999998</v>
      </c>
      <c r="B1119">
        <v>0.44864383499999999</v>
      </c>
      <c r="C1119">
        <v>-0.249662143</v>
      </c>
      <c r="D1119">
        <v>-3.2464417000000002E-2</v>
      </c>
      <c r="E1119">
        <v>6</v>
      </c>
      <c r="F1119">
        <v>40</v>
      </c>
      <c r="G1119">
        <v>12</v>
      </c>
      <c r="H1119">
        <v>1</v>
      </c>
      <c r="I1119">
        <v>4</v>
      </c>
      <c r="J1119">
        <v>49.610427860000001</v>
      </c>
      <c r="K1119">
        <v>18.004055019999999</v>
      </c>
      <c r="L1119">
        <v>18.004055019999999</v>
      </c>
      <c r="M1119">
        <v>2.8905971049999999</v>
      </c>
      <c r="N1119">
        <v>1</v>
      </c>
      <c r="O1119">
        <v>2.8905971049999999</v>
      </c>
    </row>
    <row r="1120" spans="1:15">
      <c r="A1120">
        <v>1.56761419</v>
      </c>
      <c r="B1120">
        <v>0.49674836999999999</v>
      </c>
      <c r="C1120">
        <v>0.78380709500000001</v>
      </c>
      <c r="D1120">
        <v>1.4557556110000001</v>
      </c>
      <c r="E1120">
        <v>7</v>
      </c>
      <c r="F1120">
        <v>40</v>
      </c>
      <c r="G1120">
        <v>12</v>
      </c>
      <c r="H1120">
        <v>1</v>
      </c>
      <c r="I1120">
        <v>0</v>
      </c>
      <c r="J1120">
        <v>47.46906662</v>
      </c>
      <c r="K1120">
        <v>30.405685420000001</v>
      </c>
      <c r="L1120">
        <v>30.405685420000001</v>
      </c>
      <c r="M1120">
        <v>3.4146296980000002</v>
      </c>
      <c r="N1120">
        <v>1</v>
      </c>
      <c r="O1120">
        <v>3.4146296980000002</v>
      </c>
    </row>
    <row r="1121" spans="1:15">
      <c r="A1121">
        <v>-0.33408184400000002</v>
      </c>
      <c r="B1121">
        <v>-1.514958845</v>
      </c>
      <c r="C1121">
        <v>-0.16704092200000001</v>
      </c>
      <c r="D1121">
        <v>-1.311517429</v>
      </c>
      <c r="E1121">
        <v>8</v>
      </c>
      <c r="F1121">
        <v>40</v>
      </c>
      <c r="G1121">
        <v>16</v>
      </c>
      <c r="H1121">
        <v>1</v>
      </c>
      <c r="I1121">
        <v>4</v>
      </c>
      <c r="J1121">
        <v>37.26179123</v>
      </c>
      <c r="K1121">
        <v>22.995508189999999</v>
      </c>
      <c r="L1121">
        <v>22.995508189999999</v>
      </c>
      <c r="M1121">
        <v>3.1352989670000002</v>
      </c>
      <c r="N1121">
        <v>1</v>
      </c>
      <c r="O1121">
        <v>3.1352989670000002</v>
      </c>
    </row>
    <row r="1122" spans="1:15">
      <c r="A1122">
        <v>-3.4752142E-2</v>
      </c>
      <c r="B1122">
        <v>-0.19744263100000001</v>
      </c>
      <c r="C1122">
        <v>-1.7376071E-2</v>
      </c>
      <c r="D1122">
        <v>-0.16474602199999999</v>
      </c>
      <c r="E1122">
        <v>9</v>
      </c>
      <c r="F1122">
        <v>42</v>
      </c>
      <c r="G1122">
        <v>16</v>
      </c>
      <c r="H1122">
        <v>1</v>
      </c>
      <c r="I1122">
        <v>1</v>
      </c>
      <c r="J1122">
        <v>36.823047639999999</v>
      </c>
      <c r="K1122">
        <v>25.191486359999999</v>
      </c>
      <c r="L1122">
        <v>25.191486359999999</v>
      </c>
      <c r="M1122">
        <v>3.2265059950000001</v>
      </c>
      <c r="N1122">
        <v>1</v>
      </c>
      <c r="O1122">
        <v>3.2265059950000001</v>
      </c>
    </row>
    <row r="1123" spans="1:15">
      <c r="A1123">
        <v>0.25609235400000002</v>
      </c>
      <c r="B1123">
        <v>1.1557038749999999</v>
      </c>
      <c r="C1123">
        <v>0.12804617700000001</v>
      </c>
      <c r="D1123">
        <v>1.0013744339999999</v>
      </c>
      <c r="E1123">
        <v>0</v>
      </c>
      <c r="F1123">
        <v>22</v>
      </c>
      <c r="G1123">
        <v>10</v>
      </c>
      <c r="H1123">
        <v>0</v>
      </c>
      <c r="I1123">
        <v>0</v>
      </c>
      <c r="J1123">
        <v>28.316493990000001</v>
      </c>
      <c r="K1123">
        <v>16.936553960000001</v>
      </c>
      <c r="N1123">
        <v>0</v>
      </c>
      <c r="O1123">
        <v>0</v>
      </c>
    </row>
    <row r="1124" spans="1:15">
      <c r="A1124">
        <v>0.65828874599999998</v>
      </c>
      <c r="B1124">
        <v>0.10806323900000001</v>
      </c>
      <c r="C1124">
        <v>0.32914437299999999</v>
      </c>
      <c r="D1124">
        <v>0.539876731</v>
      </c>
      <c r="E1124">
        <v>1</v>
      </c>
      <c r="F1124">
        <v>31</v>
      </c>
      <c r="G1124">
        <v>10</v>
      </c>
      <c r="H1124">
        <v>0</v>
      </c>
      <c r="I1124">
        <v>2</v>
      </c>
      <c r="J1124">
        <v>36.378520969999997</v>
      </c>
      <c r="K1124">
        <v>21.149732589999999</v>
      </c>
      <c r="L1124">
        <v>21.149732589999999</v>
      </c>
      <c r="M1124">
        <v>3.0516271590000001</v>
      </c>
      <c r="N1124">
        <v>1</v>
      </c>
      <c r="O1124">
        <v>3.0516271590000001</v>
      </c>
    </row>
    <row r="1125" spans="1:15">
      <c r="A1125">
        <v>0.245109946</v>
      </c>
      <c r="B1125">
        <v>-5.7509664000000002E-2</v>
      </c>
      <c r="C1125">
        <v>0.122554973</v>
      </c>
      <c r="D1125">
        <v>0.13156330799999999</v>
      </c>
      <c r="E1125">
        <v>2</v>
      </c>
      <c r="F1125">
        <v>25</v>
      </c>
      <c r="G1125">
        <v>10</v>
      </c>
      <c r="H1125">
        <v>0</v>
      </c>
      <c r="I1125">
        <v>3</v>
      </c>
      <c r="J1125">
        <v>34.078758239999999</v>
      </c>
      <c r="K1125">
        <v>17.470659260000001</v>
      </c>
      <c r="L1125">
        <v>17.470659260000001</v>
      </c>
      <c r="M1125">
        <v>2.8605227470000001</v>
      </c>
      <c r="N1125">
        <v>1</v>
      </c>
      <c r="O1125">
        <v>2.8605227470000001</v>
      </c>
    </row>
    <row r="1126" spans="1:15">
      <c r="A1126">
        <v>-0.19257058599999999</v>
      </c>
      <c r="B1126">
        <v>-0.15491549700000001</v>
      </c>
      <c r="C1126">
        <v>-9.6285292999999994E-2</v>
      </c>
      <c r="D1126">
        <v>-0.245548296</v>
      </c>
      <c r="E1126">
        <v>3</v>
      </c>
      <c r="F1126">
        <v>36</v>
      </c>
      <c r="G1126">
        <v>16</v>
      </c>
      <c r="H1126">
        <v>0</v>
      </c>
      <c r="I1126">
        <v>0</v>
      </c>
      <c r="J1126">
        <v>23.453420640000001</v>
      </c>
      <c r="K1126">
        <v>23.044576639999999</v>
      </c>
      <c r="N1126">
        <v>0</v>
      </c>
      <c r="O1126">
        <v>0</v>
      </c>
    </row>
    <row r="1127" spans="1:15">
      <c r="A1127">
        <v>1.9602692129999999</v>
      </c>
      <c r="B1127">
        <v>-1.6920121379999999</v>
      </c>
      <c r="C1127">
        <v>0.98013460600000002</v>
      </c>
      <c r="D1127">
        <v>0.17668883299999999</v>
      </c>
      <c r="E1127">
        <v>4</v>
      </c>
      <c r="F1127">
        <v>43</v>
      </c>
      <c r="G1127">
        <v>10</v>
      </c>
      <c r="H1127">
        <v>1</v>
      </c>
      <c r="I1127">
        <v>0</v>
      </c>
      <c r="J1127">
        <v>31.820266719999999</v>
      </c>
      <c r="K1127">
        <v>31.361616130000002</v>
      </c>
      <c r="L1127">
        <v>31.361616130000002</v>
      </c>
      <c r="M1127">
        <v>3.4455847739999999</v>
      </c>
      <c r="N1127">
        <v>1</v>
      </c>
      <c r="O1127">
        <v>3.4455847739999999</v>
      </c>
    </row>
    <row r="1128" spans="1:15">
      <c r="A1128">
        <v>1.123757506</v>
      </c>
      <c r="B1128">
        <v>0.27934242599999998</v>
      </c>
      <c r="C1128">
        <v>0.56187875300000001</v>
      </c>
      <c r="D1128">
        <v>0.98902956500000005</v>
      </c>
      <c r="E1128">
        <v>5</v>
      </c>
      <c r="F1128">
        <v>34</v>
      </c>
      <c r="G1128">
        <v>16</v>
      </c>
      <c r="H1128">
        <v>1</v>
      </c>
      <c r="I1128">
        <v>1</v>
      </c>
      <c r="J1128">
        <v>47.468353270000001</v>
      </c>
      <c r="K1128">
        <v>30.542545319999999</v>
      </c>
      <c r="L1128">
        <v>30.542545319999999</v>
      </c>
      <c r="M1128">
        <v>3.4191205500000001</v>
      </c>
      <c r="N1128">
        <v>1</v>
      </c>
      <c r="O1128">
        <v>3.4191205500000001</v>
      </c>
    </row>
    <row r="1129" spans="1:15">
      <c r="A1129">
        <v>-1.3028919910000001</v>
      </c>
      <c r="B1129">
        <v>-0.86370591299999999</v>
      </c>
      <c r="C1129">
        <v>-0.65144599599999997</v>
      </c>
      <c r="D1129">
        <v>-1.530283066</v>
      </c>
      <c r="E1129">
        <v>6</v>
      </c>
      <c r="F1129">
        <v>32</v>
      </c>
      <c r="G1129">
        <v>16</v>
      </c>
      <c r="H1129">
        <v>1</v>
      </c>
      <c r="I1129">
        <v>0</v>
      </c>
      <c r="J1129">
        <v>11.436603549999999</v>
      </c>
      <c r="K1129">
        <v>15.582648280000001</v>
      </c>
      <c r="N1129">
        <v>0</v>
      </c>
      <c r="O1129">
        <v>0</v>
      </c>
    </row>
    <row r="1130" spans="1:15">
      <c r="A1130">
        <v>0.32848018499999998</v>
      </c>
      <c r="B1130">
        <v>1.0774645709999999</v>
      </c>
      <c r="C1130">
        <v>0.164240092</v>
      </c>
      <c r="D1130">
        <v>0.99670212199999997</v>
      </c>
      <c r="E1130">
        <v>7</v>
      </c>
      <c r="F1130">
        <v>38</v>
      </c>
      <c r="G1130">
        <v>16</v>
      </c>
      <c r="H1130">
        <v>1</v>
      </c>
      <c r="I1130">
        <v>4</v>
      </c>
      <c r="J1130">
        <v>64.160423280000003</v>
      </c>
      <c r="K1130">
        <v>26.570880890000002</v>
      </c>
      <c r="L1130">
        <v>26.570880890000002</v>
      </c>
      <c r="M1130">
        <v>3.2798159120000001</v>
      </c>
      <c r="N1130">
        <v>1</v>
      </c>
      <c r="O1130">
        <v>3.2798159120000001</v>
      </c>
    </row>
    <row r="1131" spans="1:15">
      <c r="A1131">
        <v>0.23859018400000001</v>
      </c>
      <c r="B1131">
        <v>0.36601721199999998</v>
      </c>
      <c r="C1131">
        <v>0.11929509200000001</v>
      </c>
      <c r="D1131">
        <v>0.42792655400000001</v>
      </c>
      <c r="E1131">
        <v>8</v>
      </c>
      <c r="F1131">
        <v>36</v>
      </c>
      <c r="G1131">
        <v>16</v>
      </c>
      <c r="H1131">
        <v>1</v>
      </c>
      <c r="I1131">
        <v>0</v>
      </c>
      <c r="J1131">
        <v>36.535118099999998</v>
      </c>
      <c r="K1131">
        <v>25.631540300000001</v>
      </c>
      <c r="L1131">
        <v>25.631540300000001</v>
      </c>
      <c r="M1131">
        <v>3.2438235280000001</v>
      </c>
      <c r="N1131">
        <v>1</v>
      </c>
      <c r="O1131">
        <v>3.2438235280000001</v>
      </c>
    </row>
    <row r="1132" spans="1:15">
      <c r="A1132">
        <v>-1.071211371</v>
      </c>
      <c r="B1132">
        <v>1.5432546439999999</v>
      </c>
      <c r="C1132">
        <v>-0.53560568500000005</v>
      </c>
      <c r="D1132">
        <v>0.34303632699999997</v>
      </c>
      <c r="E1132">
        <v>9</v>
      </c>
      <c r="F1132">
        <v>46</v>
      </c>
      <c r="G1132">
        <v>12</v>
      </c>
      <c r="H1132">
        <v>1</v>
      </c>
      <c r="I1132">
        <v>3</v>
      </c>
      <c r="J1132">
        <v>51.516437529999997</v>
      </c>
      <c r="K1132">
        <v>15.772731780000001</v>
      </c>
      <c r="L1132">
        <v>15.772731780000001</v>
      </c>
      <c r="M1132">
        <v>2.758282661</v>
      </c>
      <c r="N1132">
        <v>1</v>
      </c>
      <c r="O1132">
        <v>2.758282661</v>
      </c>
    </row>
    <row r="1133" spans="1:15">
      <c r="A1133">
        <v>1.2671500019999999</v>
      </c>
      <c r="B1133">
        <v>-0.42330361</v>
      </c>
      <c r="C1133">
        <v>0.63357500099999997</v>
      </c>
      <c r="D1133">
        <v>0.59061626099999998</v>
      </c>
      <c r="E1133">
        <v>0</v>
      </c>
      <c r="F1133">
        <v>26</v>
      </c>
      <c r="G1133">
        <v>10</v>
      </c>
      <c r="H1133">
        <v>0</v>
      </c>
      <c r="I1133">
        <v>1</v>
      </c>
      <c r="J1133">
        <v>29.987394330000001</v>
      </c>
      <c r="K1133">
        <v>23.802900309999998</v>
      </c>
      <c r="L1133">
        <v>23.802900309999998</v>
      </c>
      <c r="M1133">
        <v>3.169807434</v>
      </c>
      <c r="N1133">
        <v>1</v>
      </c>
      <c r="O1133">
        <v>3.169807434</v>
      </c>
    </row>
    <row r="1134" spans="1:15">
      <c r="A1134">
        <v>0.23626035300000001</v>
      </c>
      <c r="B1134">
        <v>0.390480259</v>
      </c>
      <c r="C1134">
        <v>0.118130176</v>
      </c>
      <c r="D1134">
        <v>0.44367053000000001</v>
      </c>
      <c r="E1134">
        <v>1</v>
      </c>
      <c r="F1134">
        <v>25</v>
      </c>
      <c r="G1134">
        <v>10</v>
      </c>
      <c r="H1134">
        <v>0</v>
      </c>
      <c r="I1134">
        <v>0</v>
      </c>
      <c r="J1134">
        <v>22.824047090000001</v>
      </c>
      <c r="K1134">
        <v>17.417562480000001</v>
      </c>
      <c r="N1134">
        <v>0</v>
      </c>
      <c r="O1134">
        <v>0</v>
      </c>
    </row>
    <row r="1135" spans="1:15">
      <c r="A1135">
        <v>0.52440367200000004</v>
      </c>
      <c r="B1135">
        <v>-1.6251617309999999</v>
      </c>
      <c r="C1135">
        <v>0.26220183600000002</v>
      </c>
      <c r="D1135">
        <v>-0.78590297799999997</v>
      </c>
      <c r="E1135">
        <v>2</v>
      </c>
      <c r="F1135">
        <v>35</v>
      </c>
      <c r="G1135">
        <v>12</v>
      </c>
      <c r="H1135">
        <v>0</v>
      </c>
      <c r="I1135">
        <v>0</v>
      </c>
      <c r="J1135">
        <v>13.569164280000001</v>
      </c>
      <c r="K1135">
        <v>23.14642143</v>
      </c>
      <c r="N1135">
        <v>0</v>
      </c>
      <c r="O1135">
        <v>0</v>
      </c>
    </row>
    <row r="1136" spans="1:15">
      <c r="A1136">
        <v>0.45153726999999999</v>
      </c>
      <c r="B1136">
        <v>-0.55351399800000001</v>
      </c>
      <c r="C1136">
        <v>0.225768635</v>
      </c>
      <c r="D1136">
        <v>-7.5671158000000002E-2</v>
      </c>
      <c r="E1136">
        <v>3</v>
      </c>
      <c r="F1136">
        <v>28</v>
      </c>
      <c r="G1136">
        <v>12</v>
      </c>
      <c r="H1136">
        <v>1</v>
      </c>
      <c r="I1136">
        <v>0</v>
      </c>
      <c r="J1136">
        <v>24.291946410000001</v>
      </c>
      <c r="K1136">
        <v>21.30922318</v>
      </c>
      <c r="N1136">
        <v>0</v>
      </c>
      <c r="O1136">
        <v>0</v>
      </c>
    </row>
    <row r="1137" spans="1:15">
      <c r="A1137">
        <v>0.54204329299999998</v>
      </c>
      <c r="B1137">
        <v>1.330762977</v>
      </c>
      <c r="C1137">
        <v>0.27102164699999998</v>
      </c>
      <c r="D1137">
        <v>1.326927043</v>
      </c>
      <c r="E1137">
        <v>4</v>
      </c>
      <c r="F1137">
        <v>31</v>
      </c>
      <c r="G1137">
        <v>16</v>
      </c>
      <c r="H1137">
        <v>1</v>
      </c>
      <c r="I1137">
        <v>1</v>
      </c>
      <c r="J1137">
        <v>50.323123930000001</v>
      </c>
      <c r="K1137">
        <v>26.452259059999999</v>
      </c>
      <c r="L1137">
        <v>26.452259059999999</v>
      </c>
      <c r="M1137">
        <v>3.2753415110000001</v>
      </c>
      <c r="N1137">
        <v>1</v>
      </c>
      <c r="O1137">
        <v>3.2753415110000001</v>
      </c>
    </row>
    <row r="1138" spans="1:15">
      <c r="A1138">
        <v>0.75852106600000002</v>
      </c>
      <c r="B1138">
        <v>0.137839725</v>
      </c>
      <c r="C1138">
        <v>0.37926053300000001</v>
      </c>
      <c r="D1138">
        <v>0.63154615800000002</v>
      </c>
      <c r="E1138">
        <v>5</v>
      </c>
      <c r="F1138">
        <v>51</v>
      </c>
      <c r="G1138">
        <v>12</v>
      </c>
      <c r="H1138">
        <v>1</v>
      </c>
      <c r="I1138">
        <v>1</v>
      </c>
      <c r="J1138">
        <v>46.978553769999998</v>
      </c>
      <c r="K1138">
        <v>27.751127239999999</v>
      </c>
      <c r="L1138">
        <v>27.751127239999999</v>
      </c>
      <c r="M1138">
        <v>3.3232765199999998</v>
      </c>
      <c r="N1138">
        <v>1</v>
      </c>
      <c r="O1138">
        <v>3.3232765199999998</v>
      </c>
    </row>
    <row r="1139" spans="1:15">
      <c r="A1139">
        <v>-0.86352194000000004</v>
      </c>
      <c r="B1139">
        <v>0.95001304200000003</v>
      </c>
      <c r="C1139">
        <v>-0.43176097000000002</v>
      </c>
      <c r="D1139">
        <v>6.7594862000000006E-2</v>
      </c>
      <c r="E1139">
        <v>6</v>
      </c>
      <c r="F1139">
        <v>35</v>
      </c>
      <c r="G1139">
        <v>16</v>
      </c>
      <c r="H1139">
        <v>0</v>
      </c>
      <c r="I1139">
        <v>3</v>
      </c>
      <c r="J1139">
        <v>41.811138149999998</v>
      </c>
      <c r="K1139">
        <v>18.818868640000002</v>
      </c>
      <c r="L1139">
        <v>18.818868640000002</v>
      </c>
      <c r="M1139">
        <v>2.9348599910000002</v>
      </c>
      <c r="N1139">
        <v>1</v>
      </c>
      <c r="O1139">
        <v>2.9348599910000002</v>
      </c>
    </row>
    <row r="1140" spans="1:15">
      <c r="A1140">
        <v>-1.7979149999999999E-2</v>
      </c>
      <c r="B1140">
        <v>1.1824870199999999</v>
      </c>
      <c r="C1140">
        <v>-8.9895749999999996E-3</v>
      </c>
      <c r="D1140">
        <v>0.82760376800000002</v>
      </c>
      <c r="E1140">
        <v>7</v>
      </c>
      <c r="F1140">
        <v>41</v>
      </c>
      <c r="G1140">
        <v>16</v>
      </c>
      <c r="H1140">
        <v>1</v>
      </c>
      <c r="I1140">
        <v>0</v>
      </c>
      <c r="J1140">
        <v>43.331245420000002</v>
      </c>
      <c r="K1140">
        <v>25.092124940000001</v>
      </c>
      <c r="L1140">
        <v>25.092124940000001</v>
      </c>
      <c r="M1140">
        <v>3.2225539680000002</v>
      </c>
      <c r="N1140">
        <v>1</v>
      </c>
      <c r="O1140">
        <v>3.2225539680000002</v>
      </c>
    </row>
    <row r="1141" spans="1:15">
      <c r="A1141">
        <v>-2.8679264999999999E-2</v>
      </c>
      <c r="B1141">
        <v>-1.0489550320000001</v>
      </c>
      <c r="C1141">
        <v>-1.4339632999999999E-2</v>
      </c>
      <c r="D1141">
        <v>-0.76554159899999996</v>
      </c>
      <c r="E1141">
        <v>8</v>
      </c>
      <c r="F1141">
        <v>37</v>
      </c>
      <c r="G1141">
        <v>20</v>
      </c>
      <c r="H1141">
        <v>1</v>
      </c>
      <c r="I1141">
        <v>0</v>
      </c>
      <c r="J1141">
        <v>25.613500599999998</v>
      </c>
      <c r="K1141">
        <v>28.227924349999999</v>
      </c>
      <c r="N1141">
        <v>0</v>
      </c>
      <c r="O1141">
        <v>0</v>
      </c>
    </row>
    <row r="1142" spans="1:15">
      <c r="A1142">
        <v>-0.88802445600000002</v>
      </c>
      <c r="B1142">
        <v>1.3552764500000001</v>
      </c>
      <c r="C1142">
        <v>-0.44401222800000001</v>
      </c>
      <c r="D1142">
        <v>0.33833004999999999</v>
      </c>
      <c r="E1142">
        <v>9</v>
      </c>
      <c r="F1142">
        <v>45</v>
      </c>
      <c r="G1142">
        <v>16</v>
      </c>
      <c r="H1142">
        <v>1</v>
      </c>
      <c r="I1142">
        <v>3</v>
      </c>
      <c r="J1142">
        <v>54.059959409999998</v>
      </c>
      <c r="K1142">
        <v>20.671854020000001</v>
      </c>
      <c r="L1142">
        <v>20.671854020000001</v>
      </c>
      <c r="M1142">
        <v>3.0287730690000001</v>
      </c>
      <c r="N1142">
        <v>1</v>
      </c>
      <c r="O1142">
        <v>3.0287730690000001</v>
      </c>
    </row>
    <row r="1143" spans="1:15">
      <c r="A1143">
        <v>0.309254366</v>
      </c>
      <c r="B1143">
        <v>0.37522424100000001</v>
      </c>
      <c r="C1143">
        <v>0.154627183</v>
      </c>
      <c r="D1143">
        <v>0.48417931400000003</v>
      </c>
      <c r="E1143">
        <v>0</v>
      </c>
      <c r="F1143">
        <v>25</v>
      </c>
      <c r="G1143">
        <v>12</v>
      </c>
      <c r="H1143">
        <v>0</v>
      </c>
      <c r="I1143">
        <v>1</v>
      </c>
      <c r="J1143">
        <v>29.810152049999999</v>
      </c>
      <c r="K1143">
        <v>19.855525969999999</v>
      </c>
      <c r="L1143">
        <v>19.855525969999999</v>
      </c>
      <c r="M1143">
        <v>2.9884822369999999</v>
      </c>
      <c r="N1143">
        <v>1</v>
      </c>
      <c r="O1143">
        <v>2.9884822369999999</v>
      </c>
    </row>
    <row r="1144" spans="1:15">
      <c r="A1144">
        <v>-0.71377522299999996</v>
      </c>
      <c r="B1144">
        <v>0.405238388</v>
      </c>
      <c r="C1144">
        <v>-0.35688761099999999</v>
      </c>
      <c r="D1144">
        <v>-0.21416816299999999</v>
      </c>
      <c r="E1144">
        <v>1</v>
      </c>
      <c r="F1144">
        <v>42</v>
      </c>
      <c r="G1144">
        <v>16</v>
      </c>
      <c r="H1144">
        <v>0</v>
      </c>
      <c r="I1144">
        <v>2</v>
      </c>
      <c r="J1144">
        <v>36.229980470000001</v>
      </c>
      <c r="K1144">
        <v>21.117347720000001</v>
      </c>
      <c r="L1144">
        <v>21.117347720000001</v>
      </c>
      <c r="M1144">
        <v>3.0500948430000001</v>
      </c>
      <c r="N1144">
        <v>1</v>
      </c>
      <c r="O1144">
        <v>3.0500948430000001</v>
      </c>
    </row>
    <row r="1145" spans="1:15">
      <c r="A1145">
        <v>-0.137435683</v>
      </c>
      <c r="B1145">
        <v>0.91945867199999998</v>
      </c>
      <c r="C1145">
        <v>-6.8717841000000002E-2</v>
      </c>
      <c r="D1145">
        <v>0.55666649199999996</v>
      </c>
      <c r="E1145">
        <v>2</v>
      </c>
      <c r="F1145">
        <v>24</v>
      </c>
      <c r="G1145">
        <v>16</v>
      </c>
      <c r="H1145">
        <v>0</v>
      </c>
      <c r="I1145">
        <v>0</v>
      </c>
      <c r="J1145">
        <v>28.27999878</v>
      </c>
      <c r="K1145">
        <v>20.975385670000001</v>
      </c>
      <c r="N1145">
        <v>0</v>
      </c>
      <c r="O1145">
        <v>0</v>
      </c>
    </row>
    <row r="1146" spans="1:15">
      <c r="A1146">
        <v>1.3730530089999999</v>
      </c>
      <c r="B1146">
        <v>0.67641337599999996</v>
      </c>
      <c r="C1146">
        <v>0.68652650400000004</v>
      </c>
      <c r="D1146">
        <v>1.4465532000000001</v>
      </c>
      <c r="E1146">
        <v>3</v>
      </c>
      <c r="F1146">
        <v>46</v>
      </c>
      <c r="G1146">
        <v>10</v>
      </c>
      <c r="H1146">
        <v>0</v>
      </c>
      <c r="I1146">
        <v>1</v>
      </c>
      <c r="J1146">
        <v>48.258640290000002</v>
      </c>
      <c r="K1146">
        <v>28.438318249999998</v>
      </c>
      <c r="L1146">
        <v>28.438318249999998</v>
      </c>
      <c r="M1146">
        <v>3.3477375509999998</v>
      </c>
      <c r="N1146">
        <v>1</v>
      </c>
      <c r="O1146">
        <v>3.3477375509999998</v>
      </c>
    </row>
    <row r="1147" spans="1:15">
      <c r="A1147">
        <v>-1.1849667880000001</v>
      </c>
      <c r="B1147">
        <v>-0.462726374</v>
      </c>
      <c r="C1147">
        <v>-0.59248339400000005</v>
      </c>
      <c r="D1147">
        <v>-1.162397683</v>
      </c>
      <c r="E1147">
        <v>4</v>
      </c>
      <c r="F1147">
        <v>30</v>
      </c>
      <c r="G1147">
        <v>20</v>
      </c>
      <c r="H1147">
        <v>1</v>
      </c>
      <c r="I1147">
        <v>0</v>
      </c>
      <c r="J1147">
        <v>18.051227570000002</v>
      </c>
      <c r="K1147">
        <v>19.89019966</v>
      </c>
      <c r="N1147">
        <v>0</v>
      </c>
      <c r="O1147">
        <v>0</v>
      </c>
    </row>
    <row r="1148" spans="1:15">
      <c r="A1148">
        <v>-7.7679515000000005E-2</v>
      </c>
      <c r="B1148">
        <v>0.48692475299999999</v>
      </c>
      <c r="C1148">
        <v>-3.8839757000000003E-2</v>
      </c>
      <c r="D1148">
        <v>0.29135346000000001</v>
      </c>
      <c r="E1148">
        <v>5</v>
      </c>
      <c r="F1148">
        <v>33</v>
      </c>
      <c r="G1148">
        <v>12</v>
      </c>
      <c r="H1148">
        <v>1</v>
      </c>
      <c r="I1148">
        <v>1</v>
      </c>
      <c r="J1148">
        <v>35.696243289999998</v>
      </c>
      <c r="K1148">
        <v>19.13392258</v>
      </c>
      <c r="L1148">
        <v>19.13392258</v>
      </c>
      <c r="M1148">
        <v>2.9514627459999998</v>
      </c>
      <c r="N1148">
        <v>1</v>
      </c>
      <c r="O1148">
        <v>2.9514627459999998</v>
      </c>
    </row>
    <row r="1149" spans="1:15">
      <c r="A1149">
        <v>-0.51512276800000001</v>
      </c>
      <c r="B1149">
        <v>0.53542296</v>
      </c>
      <c r="C1149">
        <v>-0.257561384</v>
      </c>
      <c r="D1149">
        <v>1.8085270000000001E-2</v>
      </c>
      <c r="E1149">
        <v>6</v>
      </c>
      <c r="F1149">
        <v>35</v>
      </c>
      <c r="G1149">
        <v>12</v>
      </c>
      <c r="H1149">
        <v>1</v>
      </c>
      <c r="I1149">
        <v>0</v>
      </c>
      <c r="J1149">
        <v>28.21702385</v>
      </c>
      <c r="K1149">
        <v>16.90926361</v>
      </c>
      <c r="N1149">
        <v>0</v>
      </c>
      <c r="O1149">
        <v>0</v>
      </c>
    </row>
    <row r="1150" spans="1:15">
      <c r="A1150">
        <v>1.0920751609999999</v>
      </c>
      <c r="B1150">
        <v>1.7740916440000001</v>
      </c>
      <c r="C1150">
        <v>0.54603758000000002</v>
      </c>
      <c r="D1150">
        <v>2.0288807630000001</v>
      </c>
      <c r="E1150">
        <v>7</v>
      </c>
      <c r="F1150">
        <v>52</v>
      </c>
      <c r="G1150">
        <v>12</v>
      </c>
      <c r="H1150">
        <v>1</v>
      </c>
      <c r="I1150">
        <v>1</v>
      </c>
      <c r="J1150">
        <v>64.146568299999998</v>
      </c>
      <c r="K1150">
        <v>29.952451709999998</v>
      </c>
      <c r="L1150">
        <v>29.952451709999998</v>
      </c>
      <c r="M1150">
        <v>3.3996112350000001</v>
      </c>
      <c r="N1150">
        <v>1</v>
      </c>
      <c r="O1150">
        <v>3.3996112350000001</v>
      </c>
    </row>
    <row r="1151" spans="1:15">
      <c r="A1151">
        <v>1.4413711499999999</v>
      </c>
      <c r="B1151">
        <v>0.60686711100000001</v>
      </c>
      <c r="C1151">
        <v>0.72068557499999997</v>
      </c>
      <c r="D1151">
        <v>1.4451950650000001</v>
      </c>
      <c r="E1151">
        <v>8</v>
      </c>
      <c r="F1151">
        <v>39</v>
      </c>
      <c r="G1151">
        <v>20</v>
      </c>
      <c r="H1151">
        <v>1</v>
      </c>
      <c r="I1151">
        <v>0</v>
      </c>
      <c r="J1151">
        <v>52.942340850000001</v>
      </c>
      <c r="K1151">
        <v>37.448226929999997</v>
      </c>
      <c r="L1151">
        <v>37.448226929999997</v>
      </c>
      <c r="M1151">
        <v>3.6229593750000002</v>
      </c>
      <c r="N1151">
        <v>1</v>
      </c>
      <c r="O1151">
        <v>3.6229593750000002</v>
      </c>
    </row>
    <row r="1152" spans="1:15">
      <c r="A1152">
        <v>0.73758354000000004</v>
      </c>
      <c r="B1152">
        <v>-1.509266134</v>
      </c>
      <c r="C1152">
        <v>0.36879177000000002</v>
      </c>
      <c r="D1152">
        <v>-0.55358334499999995</v>
      </c>
      <c r="E1152">
        <v>9</v>
      </c>
      <c r="F1152">
        <v>38</v>
      </c>
      <c r="G1152">
        <v>12</v>
      </c>
      <c r="H1152">
        <v>1</v>
      </c>
      <c r="I1152">
        <v>1</v>
      </c>
      <c r="J1152">
        <v>27.556999210000001</v>
      </c>
      <c r="K1152">
        <v>25.025501250000001</v>
      </c>
      <c r="N1152">
        <v>0</v>
      </c>
      <c r="O1152">
        <v>0</v>
      </c>
    </row>
    <row r="1153" spans="1:15">
      <c r="A1153">
        <v>1.078848091</v>
      </c>
      <c r="B1153">
        <v>-0.59779711499999999</v>
      </c>
      <c r="C1153">
        <v>0.53942404499999996</v>
      </c>
      <c r="D1153">
        <v>0.334159127</v>
      </c>
      <c r="E1153">
        <v>0</v>
      </c>
      <c r="F1153">
        <v>27</v>
      </c>
      <c r="G1153">
        <v>10</v>
      </c>
      <c r="H1153">
        <v>0</v>
      </c>
      <c r="I1153">
        <v>1</v>
      </c>
      <c r="J1153">
        <v>27.309909820000001</v>
      </c>
      <c r="K1153">
        <v>22.873088840000001</v>
      </c>
      <c r="N1153">
        <v>0</v>
      </c>
      <c r="O1153">
        <v>0</v>
      </c>
    </row>
    <row r="1154" spans="1:15">
      <c r="A1154">
        <v>2.0614274969999999</v>
      </c>
      <c r="B1154">
        <v>-1.146365576</v>
      </c>
      <c r="C1154">
        <v>1.030713749</v>
      </c>
      <c r="D1154">
        <v>0.63557661499999996</v>
      </c>
      <c r="E1154">
        <v>1</v>
      </c>
      <c r="F1154">
        <v>41</v>
      </c>
      <c r="G1154">
        <v>10</v>
      </c>
      <c r="H1154">
        <v>1</v>
      </c>
      <c r="I1154">
        <v>2</v>
      </c>
      <c r="J1154">
        <v>46.526920320000002</v>
      </c>
      <c r="K1154">
        <v>31.568565370000002</v>
      </c>
      <c r="L1154">
        <v>31.568565370000002</v>
      </c>
      <c r="M1154">
        <v>3.4521617889999998</v>
      </c>
      <c r="N1154">
        <v>1</v>
      </c>
      <c r="O1154">
        <v>3.4521617889999998</v>
      </c>
    </row>
    <row r="1155" spans="1:15">
      <c r="A1155">
        <v>-2.1959065999999999E-2</v>
      </c>
      <c r="B1155">
        <v>0.20472103799999999</v>
      </c>
      <c r="C1155">
        <v>-1.0979533E-2</v>
      </c>
      <c r="D1155">
        <v>0.13002304000000001</v>
      </c>
      <c r="E1155">
        <v>2</v>
      </c>
      <c r="F1155">
        <v>28</v>
      </c>
      <c r="G1155">
        <v>12</v>
      </c>
      <c r="H1155">
        <v>1</v>
      </c>
      <c r="I1155">
        <v>2</v>
      </c>
      <c r="J1155">
        <v>36.760276789999999</v>
      </c>
      <c r="K1155">
        <v>18.46824646</v>
      </c>
      <c r="L1155">
        <v>18.46824646</v>
      </c>
      <c r="M1155">
        <v>2.9160528179999998</v>
      </c>
      <c r="N1155">
        <v>1</v>
      </c>
      <c r="O1155">
        <v>2.9160528179999998</v>
      </c>
    </row>
    <row r="1156" spans="1:15">
      <c r="A1156">
        <v>-0.41926883799999998</v>
      </c>
      <c r="B1156">
        <v>1.263943244</v>
      </c>
      <c r="C1156">
        <v>-0.20963441899999999</v>
      </c>
      <c r="D1156">
        <v>0.60318798699999998</v>
      </c>
      <c r="E1156">
        <v>3</v>
      </c>
      <c r="F1156">
        <v>46</v>
      </c>
      <c r="G1156">
        <v>12</v>
      </c>
      <c r="H1156">
        <v>1</v>
      </c>
      <c r="I1156">
        <v>0</v>
      </c>
      <c r="J1156">
        <v>39.638256069999997</v>
      </c>
      <c r="K1156">
        <v>19.684387210000001</v>
      </c>
      <c r="L1156">
        <v>19.684387210000001</v>
      </c>
      <c r="M1156">
        <v>2.9798257349999999</v>
      </c>
      <c r="N1156">
        <v>1</v>
      </c>
      <c r="O1156">
        <v>2.9798257349999999</v>
      </c>
    </row>
    <row r="1157" spans="1:15">
      <c r="A1157">
        <v>-2.0872290000000002E-2</v>
      </c>
      <c r="B1157">
        <v>-1.072019335</v>
      </c>
      <c r="C1157">
        <v>-1.0436145000000001E-2</v>
      </c>
      <c r="D1157">
        <v>-0.77643862600000002</v>
      </c>
      <c r="E1157">
        <v>4</v>
      </c>
      <c r="F1157">
        <v>42</v>
      </c>
      <c r="G1157">
        <v>10</v>
      </c>
      <c r="H1157">
        <v>1</v>
      </c>
      <c r="I1157">
        <v>2</v>
      </c>
      <c r="J1157">
        <v>29.982736589999998</v>
      </c>
      <c r="K1157">
        <v>19.274766920000001</v>
      </c>
      <c r="L1157">
        <v>19.274766920000001</v>
      </c>
      <c r="M1157">
        <v>2.9587967399999999</v>
      </c>
      <c r="N1157">
        <v>1</v>
      </c>
      <c r="O1157">
        <v>2.9587967399999999</v>
      </c>
    </row>
    <row r="1158" spans="1:15">
      <c r="A1158">
        <v>0.89664431499999997</v>
      </c>
      <c r="B1158">
        <v>-0.30132636400000001</v>
      </c>
      <c r="C1158">
        <v>0.44832215800000003</v>
      </c>
      <c r="D1158">
        <v>0.41664965999999998</v>
      </c>
      <c r="E1158">
        <v>5</v>
      </c>
      <c r="F1158">
        <v>37</v>
      </c>
      <c r="G1158">
        <v>12</v>
      </c>
      <c r="H1158">
        <v>0</v>
      </c>
      <c r="I1158">
        <v>2</v>
      </c>
      <c r="J1158">
        <v>38.799797060000003</v>
      </c>
      <c r="K1158">
        <v>25.779865260000001</v>
      </c>
      <c r="L1158">
        <v>25.779865260000001</v>
      </c>
      <c r="M1158">
        <v>3.2495937349999999</v>
      </c>
      <c r="N1158">
        <v>1</v>
      </c>
      <c r="O1158">
        <v>3.2495937349999999</v>
      </c>
    </row>
    <row r="1159" spans="1:15">
      <c r="A1159">
        <v>0.87501424400000005</v>
      </c>
      <c r="B1159">
        <v>-0.15983930299999999</v>
      </c>
      <c r="C1159">
        <v>0.43750712200000003</v>
      </c>
      <c r="D1159">
        <v>0.50197133900000002</v>
      </c>
      <c r="E1159">
        <v>6</v>
      </c>
      <c r="F1159">
        <v>49</v>
      </c>
      <c r="G1159">
        <v>12</v>
      </c>
      <c r="H1159">
        <v>1</v>
      </c>
      <c r="I1159">
        <v>4</v>
      </c>
      <c r="J1159">
        <v>59.623657229999999</v>
      </c>
      <c r="K1159">
        <v>28.050085070000002</v>
      </c>
      <c r="L1159">
        <v>28.050085070000002</v>
      </c>
      <c r="M1159">
        <v>3.333991766</v>
      </c>
      <c r="N1159">
        <v>1</v>
      </c>
      <c r="O1159">
        <v>3.333991766</v>
      </c>
    </row>
    <row r="1160" spans="1:15">
      <c r="A1160">
        <v>-0.496721254</v>
      </c>
      <c r="B1160">
        <v>1.251923648</v>
      </c>
      <c r="C1160">
        <v>-0.248360627</v>
      </c>
      <c r="D1160">
        <v>0.54016132500000003</v>
      </c>
      <c r="E1160">
        <v>7</v>
      </c>
      <c r="F1160">
        <v>38</v>
      </c>
      <c r="G1160">
        <v>12</v>
      </c>
      <c r="H1160">
        <v>1</v>
      </c>
      <c r="I1160">
        <v>4</v>
      </c>
      <c r="J1160">
        <v>55.68193436</v>
      </c>
      <c r="K1160">
        <v>17.619672779999998</v>
      </c>
      <c r="L1160">
        <v>17.619672779999998</v>
      </c>
      <c r="M1160">
        <v>2.8690159319999999</v>
      </c>
      <c r="N1160">
        <v>1</v>
      </c>
      <c r="O1160">
        <v>2.8690159319999999</v>
      </c>
    </row>
    <row r="1161" spans="1:15">
      <c r="A1161">
        <v>0.60737957300000001</v>
      </c>
      <c r="B1161">
        <v>-0.85170665899999998</v>
      </c>
      <c r="C1161">
        <v>0.30368978699999999</v>
      </c>
      <c r="D1161">
        <v>-0.17792986</v>
      </c>
      <c r="E1161">
        <v>8</v>
      </c>
      <c r="F1161">
        <v>39</v>
      </c>
      <c r="G1161">
        <v>12</v>
      </c>
      <c r="H1161">
        <v>1</v>
      </c>
      <c r="I1161">
        <v>0</v>
      </c>
      <c r="J1161">
        <v>27.464841839999998</v>
      </c>
      <c r="K1161">
        <v>24.444276810000002</v>
      </c>
      <c r="N1161">
        <v>0</v>
      </c>
      <c r="O1161">
        <v>0</v>
      </c>
    </row>
    <row r="1162" spans="1:15">
      <c r="A1162">
        <v>1.1504731420000001</v>
      </c>
      <c r="B1162">
        <v>-1.603254293</v>
      </c>
      <c r="C1162">
        <v>0.57523657100000003</v>
      </c>
      <c r="D1162">
        <v>-0.32991226600000001</v>
      </c>
      <c r="E1162">
        <v>9</v>
      </c>
      <c r="F1162">
        <v>41</v>
      </c>
      <c r="G1162">
        <v>12</v>
      </c>
      <c r="H1162">
        <v>1</v>
      </c>
      <c r="I1162">
        <v>4</v>
      </c>
      <c r="J1162">
        <v>46.441051479999999</v>
      </c>
      <c r="K1162">
        <v>28.102838519999999</v>
      </c>
      <c r="L1162">
        <v>28.102838519999999</v>
      </c>
      <c r="M1162">
        <v>3.3358705039999998</v>
      </c>
      <c r="N1162">
        <v>1</v>
      </c>
      <c r="O1162">
        <v>3.3358705039999998</v>
      </c>
    </row>
    <row r="1163" spans="1:15">
      <c r="A1163">
        <v>-0.18174884799999999</v>
      </c>
      <c r="B1163">
        <v>1.663361793</v>
      </c>
      <c r="C1163">
        <v>-9.0874423999999995E-2</v>
      </c>
      <c r="D1163">
        <v>1.0540960100000001</v>
      </c>
      <c r="E1163">
        <v>0</v>
      </c>
      <c r="F1163">
        <v>20</v>
      </c>
      <c r="G1163">
        <v>12</v>
      </c>
      <c r="H1163">
        <v>0</v>
      </c>
      <c r="I1163">
        <v>1</v>
      </c>
      <c r="J1163">
        <v>34.649150849999998</v>
      </c>
      <c r="K1163">
        <v>15.909506800000001</v>
      </c>
      <c r="L1163">
        <v>15.909506800000001</v>
      </c>
      <c r="M1163">
        <v>2.7669167520000002</v>
      </c>
      <c r="N1163">
        <v>1</v>
      </c>
      <c r="O1163">
        <v>2.7669167520000002</v>
      </c>
    </row>
    <row r="1164" spans="1:15">
      <c r="A1164">
        <v>-0.57518989799999998</v>
      </c>
      <c r="B1164">
        <v>1.4974707089999999</v>
      </c>
      <c r="C1164">
        <v>-0.28759494899999999</v>
      </c>
      <c r="D1164">
        <v>0.65944149100000005</v>
      </c>
      <c r="E1164">
        <v>1</v>
      </c>
      <c r="F1164">
        <v>24</v>
      </c>
      <c r="G1164">
        <v>10</v>
      </c>
      <c r="H1164">
        <v>0</v>
      </c>
      <c r="I1164">
        <v>2</v>
      </c>
      <c r="J1164">
        <v>35.013298030000001</v>
      </c>
      <c r="K1164">
        <v>12.348860739999999</v>
      </c>
      <c r="L1164">
        <v>12.348860739999999</v>
      </c>
      <c r="M1164">
        <v>2.5135638710000001</v>
      </c>
      <c r="N1164">
        <v>1</v>
      </c>
      <c r="O1164">
        <v>2.5135638710000001</v>
      </c>
    </row>
    <row r="1165" spans="1:15">
      <c r="A1165">
        <v>-8.0760377999999994E-2</v>
      </c>
      <c r="B1165">
        <v>-0.25016285900000002</v>
      </c>
      <c r="C1165">
        <v>-4.0380188999999997E-2</v>
      </c>
      <c r="D1165">
        <v>-0.23457356900000001</v>
      </c>
      <c r="E1165">
        <v>2</v>
      </c>
      <c r="F1165">
        <v>25</v>
      </c>
      <c r="G1165">
        <v>10</v>
      </c>
      <c r="H1165">
        <v>0</v>
      </c>
      <c r="I1165">
        <v>1</v>
      </c>
      <c r="J1165">
        <v>19.685117720000001</v>
      </c>
      <c r="K1165">
        <v>15.515438079999999</v>
      </c>
      <c r="N1165">
        <v>0</v>
      </c>
      <c r="O1165">
        <v>0</v>
      </c>
    </row>
    <row r="1166" spans="1:15">
      <c r="A1166">
        <v>-2.153643712</v>
      </c>
      <c r="B1166">
        <v>0.63267663500000004</v>
      </c>
      <c r="C1166">
        <v>-1.076821856</v>
      </c>
      <c r="D1166">
        <v>-1.065465436</v>
      </c>
      <c r="E1166">
        <v>3</v>
      </c>
      <c r="F1166">
        <v>26</v>
      </c>
      <c r="G1166">
        <v>16</v>
      </c>
      <c r="H1166">
        <v>0</v>
      </c>
      <c r="I1166">
        <v>3</v>
      </c>
      <c r="J1166">
        <v>24.61441422</v>
      </c>
      <c r="K1166">
        <v>9.2781381609999993</v>
      </c>
      <c r="N1166">
        <v>0</v>
      </c>
      <c r="O1166">
        <v>0</v>
      </c>
    </row>
    <row r="1167" spans="1:15">
      <c r="A1167">
        <v>-0.92027582100000005</v>
      </c>
      <c r="B1167">
        <v>-0.44831398099999997</v>
      </c>
      <c r="C1167">
        <v>-0.46013790999999998</v>
      </c>
      <c r="D1167">
        <v>-0.96595325600000004</v>
      </c>
      <c r="E1167">
        <v>4</v>
      </c>
      <c r="F1167">
        <v>36</v>
      </c>
      <c r="G1167">
        <v>10</v>
      </c>
      <c r="H1167">
        <v>0</v>
      </c>
      <c r="I1167">
        <v>3</v>
      </c>
      <c r="J1167">
        <v>25.30856133</v>
      </c>
      <c r="K1167">
        <v>12.678344729999999</v>
      </c>
      <c r="N1167">
        <v>0</v>
      </c>
      <c r="O1167">
        <v>0</v>
      </c>
    </row>
    <row r="1168" spans="1:15">
      <c r="A1168">
        <v>-0.67854820000000005</v>
      </c>
      <c r="B1168">
        <v>-0.46564380900000002</v>
      </c>
      <c r="C1168">
        <v>-0.33927410000000002</v>
      </c>
      <c r="D1168">
        <v>-0.80821833899999995</v>
      </c>
      <c r="E1168">
        <v>5</v>
      </c>
      <c r="F1168">
        <v>34</v>
      </c>
      <c r="G1168">
        <v>12</v>
      </c>
      <c r="H1168">
        <v>0</v>
      </c>
      <c r="I1168">
        <v>2</v>
      </c>
      <c r="J1168">
        <v>22.901380540000002</v>
      </c>
      <c r="K1168">
        <v>15.728711130000001</v>
      </c>
      <c r="N1168">
        <v>0</v>
      </c>
      <c r="O1168">
        <v>0</v>
      </c>
    </row>
    <row r="1169" spans="1:15">
      <c r="A1169">
        <v>-1.18937062</v>
      </c>
      <c r="B1169">
        <v>-1.2495935410000001</v>
      </c>
      <c r="C1169">
        <v>-0.59468531000000002</v>
      </c>
      <c r="D1169">
        <v>-1.724627744</v>
      </c>
      <c r="E1169">
        <v>6</v>
      </c>
      <c r="F1169">
        <v>48</v>
      </c>
      <c r="G1169">
        <v>10</v>
      </c>
      <c r="H1169">
        <v>1</v>
      </c>
      <c r="I1169">
        <v>2</v>
      </c>
      <c r="J1169">
        <v>21.004467009999999</v>
      </c>
      <c r="K1169">
        <v>13.46377659</v>
      </c>
      <c r="N1169">
        <v>0</v>
      </c>
      <c r="O1169">
        <v>0</v>
      </c>
    </row>
    <row r="1170" spans="1:15">
      <c r="A1170">
        <v>0.27824275100000001</v>
      </c>
      <c r="B1170">
        <v>1.6014402270000001</v>
      </c>
      <c r="C1170">
        <v>0.13912137599999999</v>
      </c>
      <c r="D1170">
        <v>1.333688008</v>
      </c>
      <c r="E1170">
        <v>7</v>
      </c>
      <c r="F1170">
        <v>37</v>
      </c>
      <c r="G1170">
        <v>20</v>
      </c>
      <c r="H1170">
        <v>1</v>
      </c>
      <c r="I1170">
        <v>0</v>
      </c>
      <c r="J1170">
        <v>50.804256440000003</v>
      </c>
      <c r="K1170">
        <v>30.0694561</v>
      </c>
      <c r="L1170">
        <v>30.0694561</v>
      </c>
      <c r="M1170">
        <v>3.4035098549999998</v>
      </c>
      <c r="N1170">
        <v>1</v>
      </c>
      <c r="O1170">
        <v>3.4035098549999998</v>
      </c>
    </row>
    <row r="1171" spans="1:15">
      <c r="A1171">
        <v>1.080486198</v>
      </c>
      <c r="B1171">
        <v>-1.638655124</v>
      </c>
      <c r="C1171">
        <v>0.540243099</v>
      </c>
      <c r="D1171">
        <v>-0.40430139900000001</v>
      </c>
      <c r="E1171">
        <v>8</v>
      </c>
      <c r="F1171">
        <v>43</v>
      </c>
      <c r="G1171">
        <v>20</v>
      </c>
      <c r="H1171">
        <v>1</v>
      </c>
      <c r="I1171">
        <v>3</v>
      </c>
      <c r="J1171">
        <v>47.348384860000003</v>
      </c>
      <c r="K1171">
        <v>36.082916259999998</v>
      </c>
      <c r="L1171">
        <v>36.082916259999998</v>
      </c>
      <c r="M1171">
        <v>3.5858194829999999</v>
      </c>
      <c r="N1171">
        <v>1</v>
      </c>
      <c r="O1171">
        <v>3.5858194829999999</v>
      </c>
    </row>
    <row r="1172" spans="1:15">
      <c r="A1172">
        <v>1.3885444060000001</v>
      </c>
      <c r="B1172">
        <v>-0.32747831900000002</v>
      </c>
      <c r="C1172">
        <v>0.69427220300000003</v>
      </c>
      <c r="D1172">
        <v>0.74410562999999996</v>
      </c>
      <c r="E1172">
        <v>9</v>
      </c>
      <c r="F1172">
        <v>44</v>
      </c>
      <c r="G1172">
        <v>12</v>
      </c>
      <c r="H1172">
        <v>1</v>
      </c>
      <c r="I1172">
        <v>4</v>
      </c>
      <c r="J1172">
        <v>60.529266360000001</v>
      </c>
      <c r="K1172">
        <v>30.131265639999999</v>
      </c>
      <c r="L1172">
        <v>30.131265639999999</v>
      </c>
      <c r="M1172">
        <v>3.4055633539999999</v>
      </c>
      <c r="N1172">
        <v>1</v>
      </c>
      <c r="O1172">
        <v>3.4055633539999999</v>
      </c>
    </row>
    <row r="1173" spans="1:15">
      <c r="A1173">
        <v>5.6705389999999996E-3</v>
      </c>
      <c r="B1173">
        <v>-1.0110217429999999</v>
      </c>
      <c r="C1173">
        <v>2.83527E-3</v>
      </c>
      <c r="D1173">
        <v>-0.71442276000000005</v>
      </c>
      <c r="E1173">
        <v>0</v>
      </c>
      <c r="F1173">
        <v>21</v>
      </c>
      <c r="G1173">
        <v>16</v>
      </c>
      <c r="H1173">
        <v>0</v>
      </c>
      <c r="I1173">
        <v>0</v>
      </c>
      <c r="J1173">
        <v>11.826927189999999</v>
      </c>
      <c r="K1173">
        <v>21.234024049999999</v>
      </c>
      <c r="N1173">
        <v>0</v>
      </c>
      <c r="O1173">
        <v>0</v>
      </c>
    </row>
    <row r="1174" spans="1:15">
      <c r="A1174">
        <v>-7.5251981999999995E-2</v>
      </c>
      <c r="B1174">
        <v>0.83540370100000005</v>
      </c>
      <c r="C1174">
        <v>-3.7625990999999998E-2</v>
      </c>
      <c r="D1174">
        <v>0.54068333999999996</v>
      </c>
      <c r="E1174">
        <v>1</v>
      </c>
      <c r="F1174">
        <v>23</v>
      </c>
      <c r="G1174">
        <v>10</v>
      </c>
      <c r="H1174">
        <v>1</v>
      </c>
      <c r="I1174">
        <v>0</v>
      </c>
      <c r="J1174">
        <v>28.188199999999998</v>
      </c>
      <c r="K1174">
        <v>15.14848804</v>
      </c>
      <c r="N1174">
        <v>0</v>
      </c>
      <c r="O1174">
        <v>0</v>
      </c>
    </row>
    <row r="1175" spans="1:15">
      <c r="A1175">
        <v>-6.7899896000000001E-2</v>
      </c>
      <c r="B1175">
        <v>-1.9178159E-2</v>
      </c>
      <c r="C1175">
        <v>-3.3949948000000001E-2</v>
      </c>
      <c r="D1175">
        <v>-6.1393441999999999E-2</v>
      </c>
      <c r="E1175">
        <v>2</v>
      </c>
      <c r="F1175">
        <v>24</v>
      </c>
      <c r="G1175">
        <v>16</v>
      </c>
      <c r="H1175">
        <v>0</v>
      </c>
      <c r="I1175">
        <v>3</v>
      </c>
      <c r="J1175">
        <v>35.863277439999997</v>
      </c>
      <c r="K1175">
        <v>21.39260101</v>
      </c>
      <c r="L1175">
        <v>21.39260101</v>
      </c>
      <c r="M1175">
        <v>3.0630450250000001</v>
      </c>
      <c r="N1175">
        <v>1</v>
      </c>
      <c r="O1175">
        <v>3.0630450250000001</v>
      </c>
    </row>
    <row r="1176" spans="1:15">
      <c r="A1176">
        <v>0.66368062699999997</v>
      </c>
      <c r="B1176">
        <v>-1.2270460780000001</v>
      </c>
      <c r="C1176">
        <v>0.33184031400000003</v>
      </c>
      <c r="D1176">
        <v>-0.40503220899999998</v>
      </c>
      <c r="E1176">
        <v>3</v>
      </c>
      <c r="F1176">
        <v>27</v>
      </c>
      <c r="G1176">
        <v>10</v>
      </c>
      <c r="H1176">
        <v>1</v>
      </c>
      <c r="I1176">
        <v>1</v>
      </c>
      <c r="J1176">
        <v>23.439613340000001</v>
      </c>
      <c r="K1176">
        <v>20.382083890000001</v>
      </c>
      <c r="N1176">
        <v>0</v>
      </c>
      <c r="O1176">
        <v>0</v>
      </c>
    </row>
    <row r="1177" spans="1:15">
      <c r="A1177">
        <v>-0.91466714599999999</v>
      </c>
      <c r="B1177">
        <v>-1.300639356</v>
      </c>
      <c r="C1177">
        <v>-0.45733357299999999</v>
      </c>
      <c r="D1177">
        <v>-1.56765307</v>
      </c>
      <c r="E1177">
        <v>4</v>
      </c>
      <c r="F1177">
        <v>28</v>
      </c>
      <c r="G1177">
        <v>10</v>
      </c>
      <c r="H1177">
        <v>1</v>
      </c>
      <c r="I1177">
        <v>1</v>
      </c>
      <c r="J1177">
        <v>9.8881635669999994</v>
      </c>
      <c r="K1177">
        <v>11.11199665</v>
      </c>
      <c r="N1177">
        <v>0</v>
      </c>
      <c r="O1177">
        <v>0</v>
      </c>
    </row>
    <row r="1178" spans="1:15">
      <c r="A1178">
        <v>0.25676060299999998</v>
      </c>
      <c r="B1178">
        <v>-1.494424113</v>
      </c>
      <c r="C1178">
        <v>0.128380302</v>
      </c>
      <c r="D1178">
        <v>-0.88128343600000003</v>
      </c>
      <c r="E1178">
        <v>5</v>
      </c>
      <c r="F1178">
        <v>43</v>
      </c>
      <c r="G1178">
        <v>10</v>
      </c>
      <c r="H1178">
        <v>1</v>
      </c>
      <c r="I1178">
        <v>0</v>
      </c>
      <c r="J1178">
        <v>19.124599459999999</v>
      </c>
      <c r="K1178">
        <v>21.140563960000001</v>
      </c>
      <c r="N1178">
        <v>0</v>
      </c>
      <c r="O1178">
        <v>0</v>
      </c>
    </row>
    <row r="1179" spans="1:15">
      <c r="A1179">
        <v>-2.0131004000000001E-2</v>
      </c>
      <c r="B1179">
        <v>-0.72496944600000002</v>
      </c>
      <c r="C1179">
        <v>-1.0065502E-2</v>
      </c>
      <c r="D1179">
        <v>-0.52931043700000002</v>
      </c>
      <c r="E1179">
        <v>6</v>
      </c>
      <c r="F1179">
        <v>32</v>
      </c>
      <c r="G1179">
        <v>16</v>
      </c>
      <c r="H1179">
        <v>1</v>
      </c>
      <c r="I1179">
        <v>3</v>
      </c>
      <c r="J1179">
        <v>38.44827652</v>
      </c>
      <c r="K1179">
        <v>23.27921486</v>
      </c>
      <c r="L1179">
        <v>23.27921486</v>
      </c>
      <c r="M1179">
        <v>3.1475608350000002</v>
      </c>
      <c r="N1179">
        <v>1</v>
      </c>
      <c r="O1179">
        <v>3.1475608350000002</v>
      </c>
    </row>
    <row r="1180" spans="1:15">
      <c r="A1180">
        <v>-0.65184023199999996</v>
      </c>
      <c r="B1180">
        <v>0.76809612999999999</v>
      </c>
      <c r="C1180">
        <v>-0.32592011599999998</v>
      </c>
      <c r="D1180">
        <v>8.7240963000000005E-2</v>
      </c>
      <c r="E1180">
        <v>7</v>
      </c>
      <c r="F1180">
        <v>39</v>
      </c>
      <c r="G1180">
        <v>16</v>
      </c>
      <c r="H1180">
        <v>0</v>
      </c>
      <c r="I1180">
        <v>4</v>
      </c>
      <c r="J1180">
        <v>48.646892549999997</v>
      </c>
      <c r="K1180">
        <v>20.888957980000001</v>
      </c>
      <c r="L1180">
        <v>20.888957980000001</v>
      </c>
      <c r="M1180">
        <v>3.0392208100000002</v>
      </c>
      <c r="N1180">
        <v>1</v>
      </c>
      <c r="O1180">
        <v>3.0392208100000002</v>
      </c>
    </row>
    <row r="1181" spans="1:15">
      <c r="A1181">
        <v>-8.3098099999999995E-4</v>
      </c>
      <c r="B1181">
        <v>0.13669351900000001</v>
      </c>
      <c r="C1181">
        <v>-4.1549000000000002E-4</v>
      </c>
      <c r="D1181">
        <v>9.6547108000000006E-2</v>
      </c>
      <c r="E1181">
        <v>8</v>
      </c>
      <c r="F1181">
        <v>48</v>
      </c>
      <c r="G1181">
        <v>16</v>
      </c>
      <c r="H1181">
        <v>1</v>
      </c>
      <c r="I1181">
        <v>2</v>
      </c>
      <c r="J1181">
        <v>47.358566279999998</v>
      </c>
      <c r="K1181">
        <v>26.59501457</v>
      </c>
      <c r="L1181">
        <v>26.59501457</v>
      </c>
      <c r="M1181">
        <v>3.28072381</v>
      </c>
      <c r="N1181">
        <v>1</v>
      </c>
      <c r="O1181">
        <v>3.28072381</v>
      </c>
    </row>
    <row r="1182" spans="1:15">
      <c r="A1182">
        <v>-0.40549847100000003</v>
      </c>
      <c r="B1182">
        <v>0.31226206000000001</v>
      </c>
      <c r="C1182">
        <v>-0.202749236</v>
      </c>
      <c r="D1182">
        <v>-6.3370539000000004E-2</v>
      </c>
      <c r="E1182">
        <v>9</v>
      </c>
      <c r="F1182">
        <v>41</v>
      </c>
      <c r="G1182">
        <v>12</v>
      </c>
      <c r="H1182">
        <v>1</v>
      </c>
      <c r="I1182">
        <v>5</v>
      </c>
      <c r="J1182">
        <v>54.639553069999998</v>
      </c>
      <c r="K1182">
        <v>18.767009739999999</v>
      </c>
      <c r="L1182">
        <v>18.767009739999999</v>
      </c>
      <c r="M1182">
        <v>2.9321005339999999</v>
      </c>
      <c r="N1182">
        <v>1</v>
      </c>
      <c r="O1182">
        <v>2.9321005339999999</v>
      </c>
    </row>
    <row r="1183" spans="1:15">
      <c r="A1183">
        <v>0.85831595999999999</v>
      </c>
      <c r="B1183">
        <v>0.32294190299999997</v>
      </c>
      <c r="C1183">
        <v>0.42915797999999999</v>
      </c>
      <c r="D1183">
        <v>0.8332792</v>
      </c>
      <c r="E1183">
        <v>0</v>
      </c>
      <c r="F1183">
        <v>35</v>
      </c>
      <c r="G1183">
        <v>10</v>
      </c>
      <c r="H1183">
        <v>0</v>
      </c>
      <c r="I1183">
        <v>2</v>
      </c>
      <c r="J1183">
        <v>41.499351500000003</v>
      </c>
      <c r="K1183">
        <v>23.14989662</v>
      </c>
      <c r="L1183">
        <v>23.14989662</v>
      </c>
      <c r="M1183">
        <v>3.1419904230000002</v>
      </c>
      <c r="N1183">
        <v>1</v>
      </c>
      <c r="O1183">
        <v>3.1419904230000002</v>
      </c>
    </row>
    <row r="1184" spans="1:15">
      <c r="A1184">
        <v>-0.54450668400000002</v>
      </c>
      <c r="B1184">
        <v>1.4960814710000001</v>
      </c>
      <c r="C1184">
        <v>-0.27225334200000001</v>
      </c>
      <c r="D1184">
        <v>0.680039175</v>
      </c>
      <c r="E1184">
        <v>1</v>
      </c>
      <c r="F1184">
        <v>32</v>
      </c>
      <c r="G1184">
        <v>10</v>
      </c>
      <c r="H1184">
        <v>0</v>
      </c>
      <c r="I1184">
        <v>2</v>
      </c>
      <c r="J1184">
        <v>38.460468290000001</v>
      </c>
      <c r="K1184">
        <v>14.13296032</v>
      </c>
      <c r="L1184">
        <v>14.13296032</v>
      </c>
      <c r="M1184">
        <v>2.6485097409999998</v>
      </c>
      <c r="N1184">
        <v>1</v>
      </c>
      <c r="O1184">
        <v>2.6485097409999998</v>
      </c>
    </row>
    <row r="1185" spans="1:15">
      <c r="A1185">
        <v>0.53242255000000005</v>
      </c>
      <c r="B1185">
        <v>0.74376757999999998</v>
      </c>
      <c r="C1185">
        <v>0.26621127500000002</v>
      </c>
      <c r="D1185">
        <v>0.90305190499999999</v>
      </c>
      <c r="E1185">
        <v>2</v>
      </c>
      <c r="F1185">
        <v>38</v>
      </c>
      <c r="G1185">
        <v>16</v>
      </c>
      <c r="H1185">
        <v>0</v>
      </c>
      <c r="I1185">
        <v>3</v>
      </c>
      <c r="J1185">
        <v>53.036621089999997</v>
      </c>
      <c r="K1185">
        <v>27.794534680000002</v>
      </c>
      <c r="L1185">
        <v>27.794534680000002</v>
      </c>
      <c r="M1185">
        <v>3.3248393539999999</v>
      </c>
      <c r="N1185">
        <v>1</v>
      </c>
      <c r="O1185">
        <v>3.3248393539999999</v>
      </c>
    </row>
    <row r="1186" spans="1:15">
      <c r="A1186">
        <v>0.79730510200000004</v>
      </c>
      <c r="B1186">
        <v>0.36921245499999999</v>
      </c>
      <c r="C1186">
        <v>0.39865255100000002</v>
      </c>
      <c r="D1186">
        <v>0.82323856399999995</v>
      </c>
      <c r="E1186">
        <v>3</v>
      </c>
      <c r="F1186">
        <v>30</v>
      </c>
      <c r="G1186">
        <v>10</v>
      </c>
      <c r="H1186">
        <v>1</v>
      </c>
      <c r="I1186">
        <v>2</v>
      </c>
      <c r="J1186">
        <v>44.378864290000003</v>
      </c>
      <c r="K1186">
        <v>21.783830640000001</v>
      </c>
      <c r="L1186">
        <v>21.783830640000001</v>
      </c>
      <c r="M1186">
        <v>3.0811679359999999</v>
      </c>
      <c r="N1186">
        <v>1</v>
      </c>
      <c r="O1186">
        <v>3.0811679359999999</v>
      </c>
    </row>
    <row r="1187" spans="1:15">
      <c r="A1187">
        <v>1.0048293720000001</v>
      </c>
      <c r="B1187">
        <v>-0.61853431999999997</v>
      </c>
      <c r="C1187">
        <v>0.50241468600000005</v>
      </c>
      <c r="D1187">
        <v>0.26735342400000001</v>
      </c>
      <c r="E1187">
        <v>4</v>
      </c>
      <c r="F1187">
        <v>35</v>
      </c>
      <c r="G1187">
        <v>16</v>
      </c>
      <c r="H1187">
        <v>0</v>
      </c>
      <c r="I1187">
        <v>2</v>
      </c>
      <c r="J1187">
        <v>39.208240510000003</v>
      </c>
      <c r="K1187">
        <v>30.028976440000001</v>
      </c>
      <c r="L1187">
        <v>30.028976440000001</v>
      </c>
      <c r="M1187">
        <v>3.4021627900000002</v>
      </c>
      <c r="N1187">
        <v>1</v>
      </c>
      <c r="O1187">
        <v>3.4021627900000002</v>
      </c>
    </row>
    <row r="1188" spans="1:15">
      <c r="A1188">
        <v>-0.26596325599999998</v>
      </c>
      <c r="B1188">
        <v>6.3778847E-2</v>
      </c>
      <c r="C1188">
        <v>-0.13298162799999999</v>
      </c>
      <c r="D1188">
        <v>-0.14177831699999999</v>
      </c>
      <c r="E1188">
        <v>5</v>
      </c>
      <c r="F1188">
        <v>37</v>
      </c>
      <c r="G1188">
        <v>10</v>
      </c>
      <c r="H1188">
        <v>1</v>
      </c>
      <c r="I1188">
        <v>1</v>
      </c>
      <c r="J1188">
        <v>30.598659519999998</v>
      </c>
      <c r="K1188">
        <v>16.8042202</v>
      </c>
      <c r="L1188">
        <v>16.8042202</v>
      </c>
      <c r="M1188">
        <v>2.8216300009999999</v>
      </c>
      <c r="N1188">
        <v>1</v>
      </c>
      <c r="O1188">
        <v>2.8216300009999999</v>
      </c>
    </row>
    <row r="1189" spans="1:15">
      <c r="A1189">
        <v>2.9075800630000002</v>
      </c>
      <c r="B1189">
        <v>0.77006171999999995</v>
      </c>
      <c r="C1189">
        <v>1.4537900319999999</v>
      </c>
      <c r="D1189">
        <v>2.592598046</v>
      </c>
      <c r="E1189">
        <v>6</v>
      </c>
      <c r="F1189">
        <v>46</v>
      </c>
      <c r="G1189">
        <v>12</v>
      </c>
      <c r="H1189">
        <v>1</v>
      </c>
      <c r="I1189">
        <v>1</v>
      </c>
      <c r="J1189">
        <v>68.511177059999994</v>
      </c>
      <c r="K1189">
        <v>39.645481109999999</v>
      </c>
      <c r="L1189">
        <v>39.645481109999999</v>
      </c>
      <c r="M1189">
        <v>3.67997694</v>
      </c>
      <c r="N1189">
        <v>1</v>
      </c>
      <c r="O1189">
        <v>3.67997694</v>
      </c>
    </row>
    <row r="1190" spans="1:15">
      <c r="A1190">
        <v>1.7013692069999999</v>
      </c>
      <c r="B1190">
        <v>-0.54043103100000001</v>
      </c>
      <c r="C1190">
        <v>0.85068460400000001</v>
      </c>
      <c r="D1190">
        <v>0.812849869</v>
      </c>
      <c r="E1190">
        <v>7</v>
      </c>
      <c r="F1190">
        <v>56</v>
      </c>
      <c r="G1190">
        <v>20</v>
      </c>
      <c r="H1190">
        <v>1</v>
      </c>
      <c r="I1190">
        <v>2</v>
      </c>
      <c r="J1190">
        <v>62.154197689999997</v>
      </c>
      <c r="K1190">
        <v>42.408214569999998</v>
      </c>
      <c r="L1190">
        <v>42.408214569999998</v>
      </c>
      <c r="M1190">
        <v>3.7473421099999999</v>
      </c>
      <c r="N1190">
        <v>1</v>
      </c>
      <c r="O1190">
        <v>3.7473421099999999</v>
      </c>
    </row>
    <row r="1191" spans="1:15">
      <c r="A1191">
        <v>0.52428808599999999</v>
      </c>
      <c r="B1191">
        <v>1.3815948999999999E-2</v>
      </c>
      <c r="C1191">
        <v>0.26214404299999999</v>
      </c>
      <c r="D1191">
        <v>0.37864048300000003</v>
      </c>
      <c r="E1191">
        <v>8</v>
      </c>
      <c r="F1191">
        <v>53</v>
      </c>
      <c r="G1191">
        <v>16</v>
      </c>
      <c r="H1191">
        <v>1</v>
      </c>
      <c r="I1191">
        <v>0</v>
      </c>
      <c r="J1191">
        <v>42.743686680000003</v>
      </c>
      <c r="K1191">
        <v>30.745729449999999</v>
      </c>
      <c r="L1191">
        <v>30.745729449999999</v>
      </c>
      <c r="M1191">
        <v>3.425751209</v>
      </c>
      <c r="N1191">
        <v>1</v>
      </c>
      <c r="O1191">
        <v>3.425751209</v>
      </c>
    </row>
    <row r="1192" spans="1:15">
      <c r="A1192">
        <v>-0.30634051499999998</v>
      </c>
      <c r="B1192">
        <v>1.1237778460000001</v>
      </c>
      <c r="C1192">
        <v>-0.153170257</v>
      </c>
      <c r="D1192">
        <v>0.583031419</v>
      </c>
      <c r="E1192">
        <v>9</v>
      </c>
      <c r="F1192">
        <v>39</v>
      </c>
      <c r="G1192">
        <v>16</v>
      </c>
      <c r="H1192">
        <v>1</v>
      </c>
      <c r="I1192">
        <v>3</v>
      </c>
      <c r="J1192">
        <v>54.59637833</v>
      </c>
      <c r="K1192">
        <v>22.961956019999999</v>
      </c>
      <c r="L1192">
        <v>22.961956019999999</v>
      </c>
      <c r="M1192">
        <v>3.1338386539999998</v>
      </c>
      <c r="N1192">
        <v>1</v>
      </c>
      <c r="O1192">
        <v>3.1338386539999998</v>
      </c>
    </row>
    <row r="1193" spans="1:15">
      <c r="A1193">
        <v>-1.462006731</v>
      </c>
      <c r="B1193">
        <v>-0.73118632500000003</v>
      </c>
      <c r="C1193">
        <v>-0.73100336499999996</v>
      </c>
      <c r="D1193">
        <v>-1.548050411</v>
      </c>
      <c r="E1193">
        <v>0</v>
      </c>
      <c r="F1193">
        <v>48</v>
      </c>
      <c r="G1193">
        <v>12</v>
      </c>
      <c r="H1193">
        <v>0</v>
      </c>
      <c r="I1193">
        <v>2</v>
      </c>
      <c r="J1193">
        <v>19.62339592</v>
      </c>
      <c r="K1193">
        <v>13.82796001</v>
      </c>
      <c r="N1193">
        <v>0</v>
      </c>
      <c r="O1193">
        <v>0</v>
      </c>
    </row>
    <row r="1194" spans="1:15">
      <c r="A1194">
        <v>-0.18729868199999999</v>
      </c>
      <c r="B1194">
        <v>-0.26630425899999999</v>
      </c>
      <c r="C1194">
        <v>-9.3649340999999997E-2</v>
      </c>
      <c r="D1194">
        <v>-0.32099027400000002</v>
      </c>
      <c r="E1194">
        <v>1</v>
      </c>
      <c r="F1194">
        <v>23</v>
      </c>
      <c r="G1194">
        <v>10</v>
      </c>
      <c r="H1194">
        <v>0</v>
      </c>
      <c r="I1194">
        <v>0</v>
      </c>
      <c r="J1194">
        <v>12.84811687</v>
      </c>
      <c r="K1194">
        <v>14.47620773</v>
      </c>
      <c r="N1194">
        <v>0</v>
      </c>
      <c r="O1194">
        <v>0</v>
      </c>
    </row>
    <row r="1195" spans="1:15">
      <c r="A1195">
        <v>-0.78478267800000001</v>
      </c>
      <c r="B1195">
        <v>-0.66742136799999996</v>
      </c>
      <c r="C1195">
        <v>-0.39239133900000001</v>
      </c>
      <c r="D1195">
        <v>-1.0263306539999999</v>
      </c>
      <c r="E1195">
        <v>2</v>
      </c>
      <c r="F1195">
        <v>45</v>
      </c>
      <c r="G1195">
        <v>10</v>
      </c>
      <c r="H1195">
        <v>1</v>
      </c>
      <c r="I1195">
        <v>0</v>
      </c>
      <c r="J1195">
        <v>18.184032439999999</v>
      </c>
      <c r="K1195">
        <v>15.29130363</v>
      </c>
      <c r="N1195">
        <v>0</v>
      </c>
      <c r="O1195">
        <v>0</v>
      </c>
    </row>
    <row r="1196" spans="1:15">
      <c r="A1196">
        <v>1.9706076999999999E-2</v>
      </c>
      <c r="B1196">
        <v>-1.3797734319999999</v>
      </c>
      <c r="C1196">
        <v>9.8530379999999997E-3</v>
      </c>
      <c r="D1196">
        <v>-0.96657669999999996</v>
      </c>
      <c r="E1196">
        <v>3</v>
      </c>
      <c r="F1196">
        <v>36</v>
      </c>
      <c r="G1196">
        <v>12</v>
      </c>
      <c r="H1196">
        <v>1</v>
      </c>
      <c r="I1196">
        <v>3</v>
      </c>
      <c r="J1196">
        <v>31.801078799999999</v>
      </c>
      <c r="K1196">
        <v>20.3182373</v>
      </c>
      <c r="L1196">
        <v>20.3182373</v>
      </c>
      <c r="M1196">
        <v>3.0115189550000001</v>
      </c>
      <c r="N1196">
        <v>1</v>
      </c>
      <c r="O1196">
        <v>3.0115189550000001</v>
      </c>
    </row>
    <row r="1197" spans="1:15">
      <c r="A1197">
        <v>-1.7100789869999999</v>
      </c>
      <c r="B1197">
        <v>-1.4067070310000001</v>
      </c>
      <c r="C1197">
        <v>-0.85503949400000001</v>
      </c>
      <c r="D1197">
        <v>-2.2025743539999998</v>
      </c>
      <c r="E1197">
        <v>4</v>
      </c>
      <c r="F1197">
        <v>40</v>
      </c>
      <c r="G1197">
        <v>12</v>
      </c>
      <c r="H1197">
        <v>1</v>
      </c>
      <c r="I1197">
        <v>4</v>
      </c>
      <c r="J1197">
        <v>23.56910706</v>
      </c>
      <c r="K1197">
        <v>10.73952579</v>
      </c>
      <c r="N1197">
        <v>0</v>
      </c>
      <c r="O1197">
        <v>0</v>
      </c>
    </row>
    <row r="1198" spans="1:15">
      <c r="A1198">
        <v>0.60491994999999998</v>
      </c>
      <c r="B1198">
        <v>5.1844920000000003E-2</v>
      </c>
      <c r="C1198">
        <v>0.30245997499999999</v>
      </c>
      <c r="D1198">
        <v>0.46238554599999998</v>
      </c>
      <c r="E1198">
        <v>5</v>
      </c>
      <c r="F1198">
        <v>31</v>
      </c>
      <c r="G1198">
        <v>16</v>
      </c>
      <c r="H1198">
        <v>1</v>
      </c>
      <c r="I1198">
        <v>3</v>
      </c>
      <c r="J1198">
        <v>49.948627469999998</v>
      </c>
      <c r="K1198">
        <v>26.829519269999999</v>
      </c>
      <c r="L1198">
        <v>26.829519269999999</v>
      </c>
      <c r="M1198">
        <v>3.2895028590000002</v>
      </c>
      <c r="N1198">
        <v>1</v>
      </c>
      <c r="O1198">
        <v>3.2895028590000002</v>
      </c>
    </row>
    <row r="1199" spans="1:15">
      <c r="A1199">
        <v>-0.53391503500000004</v>
      </c>
      <c r="B1199">
        <v>0.230451446</v>
      </c>
      <c r="C1199">
        <v>-0.266957518</v>
      </c>
      <c r="D1199">
        <v>-0.211841267</v>
      </c>
      <c r="E1199">
        <v>6</v>
      </c>
      <c r="F1199">
        <v>48</v>
      </c>
      <c r="G1199">
        <v>12</v>
      </c>
      <c r="H1199">
        <v>1</v>
      </c>
      <c r="I1199">
        <v>0</v>
      </c>
      <c r="J1199">
        <v>30.657905580000001</v>
      </c>
      <c r="K1199">
        <v>19.396509170000002</v>
      </c>
      <c r="L1199">
        <v>19.396509170000002</v>
      </c>
      <c r="M1199">
        <v>2.9650931360000001</v>
      </c>
      <c r="N1199">
        <v>1</v>
      </c>
      <c r="O1199">
        <v>2.9650931360000001</v>
      </c>
    </row>
    <row r="1200" spans="1:15">
      <c r="A1200">
        <v>-6.5766427000000002E-2</v>
      </c>
      <c r="B1200">
        <v>1.0805873429999999</v>
      </c>
      <c r="C1200">
        <v>-3.2883214000000001E-2</v>
      </c>
      <c r="D1200">
        <v>0.72157877800000003</v>
      </c>
      <c r="E1200">
        <v>7</v>
      </c>
      <c r="F1200">
        <v>54</v>
      </c>
      <c r="G1200">
        <v>12</v>
      </c>
      <c r="H1200">
        <v>1</v>
      </c>
      <c r="I1200">
        <v>2</v>
      </c>
      <c r="J1200">
        <v>54.25894547</v>
      </c>
      <c r="K1200">
        <v>23.405401229999999</v>
      </c>
      <c r="L1200">
        <v>23.405401229999999</v>
      </c>
      <c r="M1200">
        <v>3.1529667379999999</v>
      </c>
      <c r="N1200">
        <v>1</v>
      </c>
      <c r="O1200">
        <v>3.1529667379999999</v>
      </c>
    </row>
    <row r="1201" spans="1:15">
      <c r="A1201">
        <v>-0.39104282699999998</v>
      </c>
      <c r="B1201">
        <v>0.44406353799999998</v>
      </c>
      <c r="C1201">
        <v>-0.19552141300000001</v>
      </c>
      <c r="D1201">
        <v>4.0454129999999998E-2</v>
      </c>
      <c r="E1201">
        <v>8</v>
      </c>
      <c r="F1201">
        <v>40</v>
      </c>
      <c r="G1201">
        <v>12</v>
      </c>
      <c r="H1201">
        <v>1</v>
      </c>
      <c r="I1201">
        <v>3</v>
      </c>
      <c r="J1201">
        <v>45.485450739999997</v>
      </c>
      <c r="K1201">
        <v>18.653743739999999</v>
      </c>
      <c r="L1201">
        <v>18.653743739999999</v>
      </c>
      <c r="M1201">
        <v>2.9260468479999999</v>
      </c>
      <c r="N1201">
        <v>1</v>
      </c>
      <c r="O1201">
        <v>2.9260468479999999</v>
      </c>
    </row>
    <row r="1202" spans="1:15">
      <c r="A1202">
        <v>-2.1381123089999998</v>
      </c>
      <c r="B1202">
        <v>0.547789317</v>
      </c>
      <c r="C1202">
        <v>-1.069056155</v>
      </c>
      <c r="D1202">
        <v>-1.114858726</v>
      </c>
      <c r="E1202">
        <v>9</v>
      </c>
      <c r="F1202">
        <v>44</v>
      </c>
      <c r="G1202">
        <v>12</v>
      </c>
      <c r="H1202">
        <v>1</v>
      </c>
      <c r="I1202">
        <v>2</v>
      </c>
      <c r="J1202">
        <v>28.22169495</v>
      </c>
      <c r="K1202">
        <v>8.9713258739999997</v>
      </c>
      <c r="N1202">
        <v>0</v>
      </c>
      <c r="O1202">
        <v>0</v>
      </c>
    </row>
    <row r="1203" spans="1:15">
      <c r="A1203">
        <v>0.20062513400000001</v>
      </c>
      <c r="B1203">
        <v>-0.19278714499999999</v>
      </c>
      <c r="C1203">
        <v>0.10031256700000001</v>
      </c>
      <c r="D1203">
        <v>4.1439170000000004E-3</v>
      </c>
      <c r="E1203">
        <v>0</v>
      </c>
      <c r="F1203">
        <v>21</v>
      </c>
      <c r="G1203">
        <v>10</v>
      </c>
      <c r="H1203">
        <v>0</v>
      </c>
      <c r="I1203">
        <v>2</v>
      </c>
      <c r="J1203">
        <v>25.949726099999999</v>
      </c>
      <c r="K1203">
        <v>16.403751369999998</v>
      </c>
      <c r="N1203">
        <v>0</v>
      </c>
      <c r="O1203">
        <v>0</v>
      </c>
    </row>
    <row r="1204" spans="1:15">
      <c r="A1204">
        <v>-0.16958694099999999</v>
      </c>
      <c r="B1204">
        <v>-1.4040300530000001</v>
      </c>
      <c r="C1204">
        <v>-8.4793470999999995E-2</v>
      </c>
      <c r="D1204">
        <v>-1.1169757250000001</v>
      </c>
      <c r="E1204">
        <v>1</v>
      </c>
      <c r="F1204">
        <v>23</v>
      </c>
      <c r="G1204">
        <v>10</v>
      </c>
      <c r="H1204">
        <v>0</v>
      </c>
      <c r="I1204">
        <v>1</v>
      </c>
      <c r="J1204">
        <v>8.2962913510000007</v>
      </c>
      <c r="K1204">
        <v>14.58247852</v>
      </c>
      <c r="N1204">
        <v>0</v>
      </c>
      <c r="O1204">
        <v>0</v>
      </c>
    </row>
    <row r="1205" spans="1:15">
      <c r="A1205">
        <v>0.529707598</v>
      </c>
      <c r="B1205">
        <v>0.88586739299999995</v>
      </c>
      <c r="C1205">
        <v>0.264853799</v>
      </c>
      <c r="D1205">
        <v>1.002115292</v>
      </c>
      <c r="E1205">
        <v>2</v>
      </c>
      <c r="F1205">
        <v>46</v>
      </c>
      <c r="G1205">
        <v>12</v>
      </c>
      <c r="H1205">
        <v>0</v>
      </c>
      <c r="I1205">
        <v>0</v>
      </c>
      <c r="J1205">
        <v>39.425384520000001</v>
      </c>
      <c r="K1205">
        <v>25.378246310000002</v>
      </c>
      <c r="L1205">
        <v>25.378246310000002</v>
      </c>
      <c r="M1205">
        <v>3.2338924410000001</v>
      </c>
      <c r="N1205">
        <v>1</v>
      </c>
      <c r="O1205">
        <v>3.2338924410000001</v>
      </c>
    </row>
    <row r="1206" spans="1:15">
      <c r="A1206">
        <v>-0.98712235100000001</v>
      </c>
      <c r="B1206">
        <v>-0.65235713500000003</v>
      </c>
      <c r="C1206">
        <v>-0.49356117500000002</v>
      </c>
      <c r="D1206">
        <v>-1.1579670520000001</v>
      </c>
      <c r="E1206">
        <v>3</v>
      </c>
      <c r="F1206">
        <v>47</v>
      </c>
      <c r="G1206">
        <v>10</v>
      </c>
      <c r="H1206">
        <v>0</v>
      </c>
      <c r="I1206">
        <v>1</v>
      </c>
      <c r="J1206">
        <v>17.40439606</v>
      </c>
      <c r="K1206">
        <v>14.477266309999999</v>
      </c>
      <c r="N1206">
        <v>0</v>
      </c>
      <c r="O1206">
        <v>0</v>
      </c>
    </row>
    <row r="1207" spans="1:15">
      <c r="A1207">
        <v>0.95043337400000005</v>
      </c>
      <c r="B1207">
        <v>-0.64466011899999998</v>
      </c>
      <c r="C1207">
        <v>0.47521668700000003</v>
      </c>
      <c r="D1207">
        <v>0.210522773</v>
      </c>
      <c r="E1207">
        <v>4</v>
      </c>
      <c r="F1207">
        <v>48</v>
      </c>
      <c r="G1207">
        <v>10</v>
      </c>
      <c r="H1207">
        <v>0</v>
      </c>
      <c r="I1207">
        <v>1</v>
      </c>
      <c r="J1207">
        <v>34.22627258</v>
      </c>
      <c r="K1207">
        <v>26.302600859999998</v>
      </c>
      <c r="L1207">
        <v>26.302600859999998</v>
      </c>
      <c r="M1207">
        <v>3.2696678640000001</v>
      </c>
      <c r="N1207">
        <v>1</v>
      </c>
      <c r="O1207">
        <v>3.2696678640000001</v>
      </c>
    </row>
    <row r="1208" spans="1:15">
      <c r="A1208">
        <v>-0.23154884100000001</v>
      </c>
      <c r="B1208">
        <v>-1.5374897670000001</v>
      </c>
      <c r="C1208">
        <v>-0.11577442</v>
      </c>
      <c r="D1208">
        <v>-1.2553981279999999</v>
      </c>
      <c r="E1208">
        <v>5</v>
      </c>
      <c r="F1208">
        <v>46</v>
      </c>
      <c r="G1208">
        <v>12</v>
      </c>
      <c r="H1208">
        <v>1</v>
      </c>
      <c r="I1208">
        <v>1</v>
      </c>
      <c r="J1208">
        <v>22.33522224</v>
      </c>
      <c r="K1208">
        <v>20.810707090000001</v>
      </c>
      <c r="N1208">
        <v>0</v>
      </c>
      <c r="O1208">
        <v>0</v>
      </c>
    </row>
    <row r="1209" spans="1:15">
      <c r="A1209">
        <v>-1.9927012000000001E-2</v>
      </c>
      <c r="B1209">
        <v>2.0032120930000001</v>
      </c>
      <c r="C1209">
        <v>-9.9635060000000004E-3</v>
      </c>
      <c r="D1209">
        <v>1.4094243259999999</v>
      </c>
      <c r="E1209">
        <v>6</v>
      </c>
      <c r="F1209">
        <v>41</v>
      </c>
      <c r="G1209">
        <v>16</v>
      </c>
      <c r="H1209">
        <v>1</v>
      </c>
      <c r="I1209">
        <v>5</v>
      </c>
      <c r="J1209">
        <v>75.313095090000004</v>
      </c>
      <c r="K1209">
        <v>25.080438610000002</v>
      </c>
      <c r="L1209">
        <v>25.080438610000002</v>
      </c>
      <c r="M1209">
        <v>3.222088099</v>
      </c>
      <c r="N1209">
        <v>1</v>
      </c>
      <c r="O1209">
        <v>3.222088099</v>
      </c>
    </row>
    <row r="1210" spans="1:15">
      <c r="A1210">
        <v>-1.002444841</v>
      </c>
      <c r="B1210">
        <v>0.78989847899999999</v>
      </c>
      <c r="C1210">
        <v>-0.50122242100000003</v>
      </c>
      <c r="D1210">
        <v>-0.143908023</v>
      </c>
      <c r="E1210">
        <v>7</v>
      </c>
      <c r="F1210">
        <v>35</v>
      </c>
      <c r="G1210">
        <v>16</v>
      </c>
      <c r="H1210">
        <v>1</v>
      </c>
      <c r="I1210">
        <v>0</v>
      </c>
      <c r="J1210">
        <v>29.273103710000001</v>
      </c>
      <c r="K1210">
        <v>17.985330579999999</v>
      </c>
      <c r="L1210">
        <v>17.985330579999999</v>
      </c>
      <c r="M1210">
        <v>2.8895564079999998</v>
      </c>
      <c r="N1210">
        <v>1</v>
      </c>
      <c r="O1210">
        <v>2.8895564079999998</v>
      </c>
    </row>
    <row r="1211" spans="1:15">
      <c r="A1211">
        <v>0.31875894199999999</v>
      </c>
      <c r="B1211">
        <v>-1.021471201</v>
      </c>
      <c r="C1211">
        <v>0.15937947099999999</v>
      </c>
      <c r="D1211">
        <v>-0.50159832000000004</v>
      </c>
      <c r="E1211">
        <v>8</v>
      </c>
      <c r="F1211">
        <v>36</v>
      </c>
      <c r="G1211">
        <v>20</v>
      </c>
      <c r="H1211">
        <v>1</v>
      </c>
      <c r="I1211">
        <v>0</v>
      </c>
      <c r="J1211">
        <v>28.380819320000001</v>
      </c>
      <c r="K1211">
        <v>30.112554549999999</v>
      </c>
      <c r="N1211">
        <v>0</v>
      </c>
      <c r="O1211">
        <v>0</v>
      </c>
    </row>
    <row r="1212" spans="1:15">
      <c r="A1212">
        <v>3.7972555999999998E-2</v>
      </c>
      <c r="B1212">
        <v>-1.3796630169999999</v>
      </c>
      <c r="C1212">
        <v>1.8986277999999999E-2</v>
      </c>
      <c r="D1212">
        <v>-0.95364824400000003</v>
      </c>
      <c r="E1212">
        <v>9</v>
      </c>
      <c r="F1212">
        <v>50</v>
      </c>
      <c r="G1212">
        <v>20</v>
      </c>
      <c r="H1212">
        <v>1</v>
      </c>
      <c r="I1212">
        <v>0</v>
      </c>
      <c r="J1212">
        <v>28.556221010000002</v>
      </c>
      <c r="K1212">
        <v>31.227834699999999</v>
      </c>
      <c r="N1212">
        <v>0</v>
      </c>
      <c r="O1212">
        <v>0</v>
      </c>
    </row>
    <row r="1213" spans="1:15">
      <c r="A1213">
        <v>0.73435660000000003</v>
      </c>
      <c r="B1213">
        <v>0.41679310200000003</v>
      </c>
      <c r="C1213">
        <v>0.36717830000000001</v>
      </c>
      <c r="D1213">
        <v>0.81276577299999997</v>
      </c>
      <c r="E1213">
        <v>0</v>
      </c>
      <c r="F1213">
        <v>34</v>
      </c>
      <c r="G1213">
        <v>10</v>
      </c>
      <c r="H1213">
        <v>1</v>
      </c>
      <c r="I1213">
        <v>3</v>
      </c>
      <c r="J1213">
        <v>50.853187560000002</v>
      </c>
      <c r="K1213">
        <v>22.206140520000002</v>
      </c>
      <c r="L1213">
        <v>22.206140520000002</v>
      </c>
      <c r="M1213">
        <v>3.1003687379999998</v>
      </c>
      <c r="N1213">
        <v>1</v>
      </c>
      <c r="O1213">
        <v>3.1003687379999998</v>
      </c>
    </row>
    <row r="1214" spans="1:15">
      <c r="A1214">
        <v>1.0859764000000001</v>
      </c>
      <c r="B1214">
        <v>0.35069138999999999</v>
      </c>
      <c r="C1214">
        <v>0.54298820000000003</v>
      </c>
      <c r="D1214">
        <v>1.0131506779999999</v>
      </c>
      <c r="E1214">
        <v>1</v>
      </c>
      <c r="F1214">
        <v>24</v>
      </c>
      <c r="G1214">
        <v>16</v>
      </c>
      <c r="H1214">
        <v>0</v>
      </c>
      <c r="I1214">
        <v>3</v>
      </c>
      <c r="J1214">
        <v>48.757808689999997</v>
      </c>
      <c r="K1214">
        <v>28.315858840000001</v>
      </c>
      <c r="L1214">
        <v>28.315858840000001</v>
      </c>
      <c r="M1214">
        <v>3.3434219359999999</v>
      </c>
      <c r="N1214">
        <v>1</v>
      </c>
      <c r="O1214">
        <v>3.3434219359999999</v>
      </c>
    </row>
    <row r="1215" spans="1:15">
      <c r="A1215">
        <v>-0.74736110600000005</v>
      </c>
      <c r="B1215">
        <v>-1.6139621200000001</v>
      </c>
      <c r="C1215">
        <v>-0.37368055300000003</v>
      </c>
      <c r="D1215">
        <v>-1.6725984789999999</v>
      </c>
      <c r="E1215">
        <v>2</v>
      </c>
      <c r="F1215">
        <v>28</v>
      </c>
      <c r="G1215">
        <v>10</v>
      </c>
      <c r="H1215">
        <v>0</v>
      </c>
      <c r="I1215">
        <v>3</v>
      </c>
      <c r="J1215">
        <v>13.62881851</v>
      </c>
      <c r="K1215">
        <v>12.11583328</v>
      </c>
      <c r="N1215">
        <v>0</v>
      </c>
      <c r="O1215">
        <v>0</v>
      </c>
    </row>
    <row r="1216" spans="1:15">
      <c r="A1216">
        <v>1.7739453359999999</v>
      </c>
      <c r="B1216">
        <v>0.33363242199999998</v>
      </c>
      <c r="C1216">
        <v>0.88697266799999996</v>
      </c>
      <c r="D1216">
        <v>1.4849973190000001</v>
      </c>
      <c r="E1216">
        <v>3</v>
      </c>
      <c r="F1216">
        <v>28</v>
      </c>
      <c r="G1216">
        <v>20</v>
      </c>
      <c r="H1216">
        <v>0</v>
      </c>
      <c r="I1216">
        <v>0</v>
      </c>
      <c r="J1216">
        <v>44.01996613</v>
      </c>
      <c r="K1216">
        <v>37.243671419999998</v>
      </c>
      <c r="L1216">
        <v>37.243671419999998</v>
      </c>
      <c r="M1216">
        <v>3.6174819469999999</v>
      </c>
      <c r="N1216">
        <v>1</v>
      </c>
      <c r="O1216">
        <v>3.6174819469999999</v>
      </c>
    </row>
    <row r="1217" spans="1:15">
      <c r="A1217">
        <v>9.4415032999999995E-2</v>
      </c>
      <c r="B1217">
        <v>-5.4610055999999997E-2</v>
      </c>
      <c r="C1217">
        <v>4.7207515999999998E-2</v>
      </c>
      <c r="D1217">
        <v>2.7613726000000002E-2</v>
      </c>
      <c r="E1217">
        <v>4</v>
      </c>
      <c r="F1217">
        <v>34</v>
      </c>
      <c r="G1217">
        <v>12</v>
      </c>
      <c r="H1217">
        <v>0</v>
      </c>
      <c r="I1217">
        <v>1</v>
      </c>
      <c r="J1217">
        <v>27.93136406</v>
      </c>
      <c r="K1217">
        <v>20.36648941</v>
      </c>
      <c r="N1217">
        <v>0</v>
      </c>
      <c r="O1217">
        <v>0</v>
      </c>
    </row>
    <row r="1218" spans="1:15">
      <c r="A1218">
        <v>-2.1085243509999998</v>
      </c>
      <c r="B1218">
        <v>-0.24029144199999999</v>
      </c>
      <c r="C1218">
        <v>-1.0542621750000001</v>
      </c>
      <c r="D1218">
        <v>-1.6540387919999999</v>
      </c>
      <c r="E1218">
        <v>5</v>
      </c>
      <c r="F1218">
        <v>37</v>
      </c>
      <c r="G1218">
        <v>10</v>
      </c>
      <c r="H1218">
        <v>0</v>
      </c>
      <c r="I1218">
        <v>2</v>
      </c>
      <c r="J1218">
        <v>12.45153427</v>
      </c>
      <c r="K1218">
        <v>5.7488536830000001</v>
      </c>
      <c r="N1218">
        <v>0</v>
      </c>
      <c r="O1218">
        <v>0</v>
      </c>
    </row>
    <row r="1219" spans="1:15">
      <c r="A1219">
        <v>-0.83608815199999997</v>
      </c>
      <c r="B1219">
        <v>-1.8656057800000001</v>
      </c>
      <c r="C1219">
        <v>-0.41804407599999999</v>
      </c>
      <c r="D1219">
        <v>-1.9138286200000001</v>
      </c>
      <c r="E1219">
        <v>6</v>
      </c>
      <c r="F1219">
        <v>34</v>
      </c>
      <c r="G1219">
        <v>12</v>
      </c>
      <c r="H1219">
        <v>1</v>
      </c>
      <c r="I1219">
        <v>2</v>
      </c>
      <c r="J1219">
        <v>14.63405609</v>
      </c>
      <c r="K1219">
        <v>14.783471110000001</v>
      </c>
      <c r="N1219">
        <v>0</v>
      </c>
      <c r="O1219">
        <v>0</v>
      </c>
    </row>
    <row r="1220" spans="1:15">
      <c r="A1220">
        <v>-1.108924504</v>
      </c>
      <c r="B1220">
        <v>-0.21160832099999999</v>
      </c>
      <c r="C1220">
        <v>-0.55446225199999999</v>
      </c>
      <c r="D1220">
        <v>-0.93046443000000001</v>
      </c>
      <c r="E1220">
        <v>7</v>
      </c>
      <c r="F1220">
        <v>38</v>
      </c>
      <c r="G1220">
        <v>16</v>
      </c>
      <c r="H1220">
        <v>1</v>
      </c>
      <c r="I1220">
        <v>1</v>
      </c>
      <c r="J1220">
        <v>26.034427640000001</v>
      </c>
      <c r="K1220">
        <v>17.946453089999999</v>
      </c>
      <c r="N1220">
        <v>0</v>
      </c>
      <c r="O1220">
        <v>0</v>
      </c>
    </row>
    <row r="1221" spans="1:15">
      <c r="A1221">
        <v>-0.14121393800000001</v>
      </c>
      <c r="B1221">
        <v>-0.25314797</v>
      </c>
      <c r="C1221">
        <v>-7.0606969000000006E-2</v>
      </c>
      <c r="D1221">
        <v>-0.27922224899999998</v>
      </c>
      <c r="E1221">
        <v>8</v>
      </c>
      <c r="F1221">
        <v>36</v>
      </c>
      <c r="G1221">
        <v>16</v>
      </c>
      <c r="H1221">
        <v>1</v>
      </c>
      <c r="I1221">
        <v>3</v>
      </c>
      <c r="J1221">
        <v>43.049331670000001</v>
      </c>
      <c r="K1221">
        <v>23.352716449999999</v>
      </c>
      <c r="L1221">
        <v>23.352716449999999</v>
      </c>
      <c r="M1221">
        <v>3.1507132050000002</v>
      </c>
      <c r="N1221">
        <v>1</v>
      </c>
      <c r="O1221">
        <v>3.1507132050000002</v>
      </c>
    </row>
    <row r="1222" spans="1:15">
      <c r="A1222">
        <v>-1.217367759</v>
      </c>
      <c r="B1222">
        <v>-4.1313754000000001E-2</v>
      </c>
      <c r="C1222">
        <v>-0.60868387999999995</v>
      </c>
      <c r="D1222">
        <v>-0.88574354799999999</v>
      </c>
      <c r="E1222">
        <v>9</v>
      </c>
      <c r="F1222">
        <v>39</v>
      </c>
      <c r="G1222">
        <v>20</v>
      </c>
      <c r="H1222">
        <v>1</v>
      </c>
      <c r="I1222">
        <v>2</v>
      </c>
      <c r="J1222">
        <v>34.971076969999999</v>
      </c>
      <c r="K1222">
        <v>21.4957943</v>
      </c>
      <c r="L1222">
        <v>21.4957943</v>
      </c>
      <c r="M1222">
        <v>3.0678572649999998</v>
      </c>
      <c r="N1222">
        <v>1</v>
      </c>
      <c r="O1222">
        <v>3.0678572649999998</v>
      </c>
    </row>
    <row r="1223" spans="1:15">
      <c r="A1223">
        <v>-0.89067173099999997</v>
      </c>
      <c r="B1223">
        <v>-1.4196622139999999</v>
      </c>
      <c r="C1223">
        <v>-0.445335865</v>
      </c>
      <c r="D1223">
        <v>-1.635348177</v>
      </c>
      <c r="E1223">
        <v>0</v>
      </c>
      <c r="F1223">
        <v>26</v>
      </c>
      <c r="G1223">
        <v>10</v>
      </c>
      <c r="H1223">
        <v>0</v>
      </c>
      <c r="I1223">
        <v>0</v>
      </c>
      <c r="J1223">
        <v>-1.7241780760000001</v>
      </c>
      <c r="K1223">
        <v>10.85596943</v>
      </c>
      <c r="N1223">
        <v>0</v>
      </c>
      <c r="O1223">
        <v>0</v>
      </c>
    </row>
    <row r="1224" spans="1:15">
      <c r="A1224">
        <v>-0.283041604</v>
      </c>
      <c r="B1224">
        <v>-0.64728744800000004</v>
      </c>
      <c r="C1224">
        <v>-0.141520802</v>
      </c>
      <c r="D1224">
        <v>-0.65906198800000004</v>
      </c>
      <c r="E1224">
        <v>1</v>
      </c>
      <c r="F1224">
        <v>43</v>
      </c>
      <c r="G1224">
        <v>20</v>
      </c>
      <c r="H1224">
        <v>0</v>
      </c>
      <c r="I1224">
        <v>1</v>
      </c>
      <c r="J1224">
        <v>29.29125595</v>
      </c>
      <c r="K1224">
        <v>27.90175056</v>
      </c>
      <c r="L1224">
        <v>27.90175056</v>
      </c>
      <c r="M1224">
        <v>3.3286893370000001</v>
      </c>
      <c r="N1224">
        <v>1</v>
      </c>
      <c r="O1224">
        <v>3.3286893370000001</v>
      </c>
    </row>
    <row r="1225" spans="1:15">
      <c r="A1225">
        <v>-4.0459989000000002E-2</v>
      </c>
      <c r="B1225">
        <v>0.37916561700000001</v>
      </c>
      <c r="C1225">
        <v>-2.0229995000000001E-2</v>
      </c>
      <c r="D1225">
        <v>0.24096494800000001</v>
      </c>
      <c r="E1225">
        <v>2</v>
      </c>
      <c r="F1225">
        <v>26</v>
      </c>
      <c r="G1225">
        <v>20</v>
      </c>
      <c r="H1225">
        <v>0</v>
      </c>
      <c r="I1225">
        <v>0</v>
      </c>
      <c r="J1225">
        <v>28.291580199999999</v>
      </c>
      <c r="K1225">
        <v>25.957239149999999</v>
      </c>
      <c r="N1225">
        <v>0</v>
      </c>
      <c r="O1225">
        <v>0</v>
      </c>
    </row>
    <row r="1226" spans="1:15">
      <c r="A1226">
        <v>0.27052137799999998</v>
      </c>
      <c r="B1226">
        <v>-1.3080474280000001</v>
      </c>
      <c r="C1226">
        <v>0.13526068899999999</v>
      </c>
      <c r="D1226">
        <v>-0.73916753999999996</v>
      </c>
      <c r="E1226">
        <v>3</v>
      </c>
      <c r="F1226">
        <v>38</v>
      </c>
      <c r="G1226">
        <v>16</v>
      </c>
      <c r="H1226">
        <v>1</v>
      </c>
      <c r="I1226">
        <v>0</v>
      </c>
      <c r="J1226">
        <v>23.329990389999999</v>
      </c>
      <c r="K1226">
        <v>26.22312737</v>
      </c>
      <c r="N1226">
        <v>0</v>
      </c>
      <c r="O1226">
        <v>0</v>
      </c>
    </row>
    <row r="1227" spans="1:15">
      <c r="A1227">
        <v>0.97673035500000005</v>
      </c>
      <c r="B1227">
        <v>-1.465472307</v>
      </c>
      <c r="C1227">
        <v>0.48836517800000001</v>
      </c>
      <c r="D1227">
        <v>-0.35423071099999998</v>
      </c>
      <c r="E1227">
        <v>4</v>
      </c>
      <c r="F1227">
        <v>28</v>
      </c>
      <c r="G1227">
        <v>12</v>
      </c>
      <c r="H1227">
        <v>0</v>
      </c>
      <c r="I1227">
        <v>2</v>
      </c>
      <c r="J1227">
        <v>25.9492321</v>
      </c>
      <c r="K1227">
        <v>24.460382460000002</v>
      </c>
      <c r="N1227">
        <v>0</v>
      </c>
      <c r="O1227">
        <v>0</v>
      </c>
    </row>
    <row r="1228" spans="1:15">
      <c r="A1228">
        <v>1.8142832449999999</v>
      </c>
      <c r="B1228">
        <v>0.94505572599999998</v>
      </c>
      <c r="C1228">
        <v>0.90714162200000004</v>
      </c>
      <c r="D1228">
        <v>1.9478391740000001</v>
      </c>
      <c r="E1228">
        <v>5</v>
      </c>
      <c r="F1228">
        <v>49</v>
      </c>
      <c r="G1228">
        <v>10</v>
      </c>
      <c r="H1228">
        <v>1</v>
      </c>
      <c r="I1228">
        <v>3</v>
      </c>
      <c r="J1228">
        <v>70.474067689999998</v>
      </c>
      <c r="K1228">
        <v>31.685699459999999</v>
      </c>
      <c r="L1228">
        <v>31.685699459999999</v>
      </c>
      <c r="M1228">
        <v>3.4558653829999999</v>
      </c>
      <c r="N1228">
        <v>1</v>
      </c>
      <c r="O1228">
        <v>3.4558653829999999</v>
      </c>
    </row>
    <row r="1229" spans="1:15">
      <c r="A1229">
        <v>2.136069445</v>
      </c>
      <c r="B1229">
        <v>1.424843055</v>
      </c>
      <c r="C1229">
        <v>1.068034723</v>
      </c>
      <c r="D1229">
        <v>2.5151347510000002</v>
      </c>
      <c r="E1229">
        <v>6</v>
      </c>
      <c r="F1229">
        <v>46</v>
      </c>
      <c r="G1229">
        <v>20</v>
      </c>
      <c r="H1229">
        <v>1</v>
      </c>
      <c r="I1229">
        <v>0</v>
      </c>
      <c r="J1229">
        <v>68.581619259999997</v>
      </c>
      <c r="K1229">
        <v>43.016418459999997</v>
      </c>
      <c r="L1229">
        <v>43.016418459999997</v>
      </c>
      <c r="M1229">
        <v>3.7615818980000002</v>
      </c>
      <c r="N1229">
        <v>1</v>
      </c>
      <c r="O1229">
        <v>3.7615818980000002</v>
      </c>
    </row>
    <row r="1230" spans="1:15">
      <c r="A1230">
        <v>-0.54209426699999996</v>
      </c>
      <c r="B1230">
        <v>1.042904907</v>
      </c>
      <c r="C1230">
        <v>-0.27104713400000002</v>
      </c>
      <c r="D1230">
        <v>0.35971804200000002</v>
      </c>
      <c r="E1230">
        <v>7</v>
      </c>
      <c r="F1230">
        <v>35</v>
      </c>
      <c r="G1230">
        <v>12</v>
      </c>
      <c r="H1230">
        <v>0</v>
      </c>
      <c r="I1230">
        <v>5</v>
      </c>
      <c r="J1230">
        <v>52.316616060000001</v>
      </c>
      <c r="K1230">
        <v>16.74743462</v>
      </c>
      <c r="L1230">
        <v>16.74743462</v>
      </c>
      <c r="M1230">
        <v>2.8182451730000002</v>
      </c>
      <c r="N1230">
        <v>1</v>
      </c>
      <c r="O1230">
        <v>2.8182451730000002</v>
      </c>
    </row>
    <row r="1231" spans="1:15">
      <c r="A1231">
        <v>1.5577864850000001</v>
      </c>
      <c r="B1231">
        <v>-0.63464357100000002</v>
      </c>
      <c r="C1231">
        <v>0.77889324299999996</v>
      </c>
      <c r="D1231">
        <v>0.64489757999999997</v>
      </c>
      <c r="E1231">
        <v>8</v>
      </c>
      <c r="F1231">
        <v>39</v>
      </c>
      <c r="G1231">
        <v>16</v>
      </c>
      <c r="H1231">
        <v>1</v>
      </c>
      <c r="I1231">
        <v>1</v>
      </c>
      <c r="J1231">
        <v>45.338771819999998</v>
      </c>
      <c r="K1231">
        <v>34.146717070000001</v>
      </c>
      <c r="L1231">
        <v>34.146717070000001</v>
      </c>
      <c r="M1231">
        <v>3.5306663509999998</v>
      </c>
      <c r="N1231">
        <v>1</v>
      </c>
      <c r="O1231">
        <v>3.5306663509999998</v>
      </c>
    </row>
    <row r="1232" spans="1:15">
      <c r="A1232">
        <v>-0.371479948</v>
      </c>
      <c r="B1232">
        <v>-1.8712415419999999</v>
      </c>
      <c r="C1232">
        <v>-0.185739974</v>
      </c>
      <c r="D1232">
        <v>-1.5909933919999999</v>
      </c>
      <c r="E1232">
        <v>9</v>
      </c>
      <c r="F1232">
        <v>38</v>
      </c>
      <c r="G1232">
        <v>20</v>
      </c>
      <c r="H1232">
        <v>1</v>
      </c>
      <c r="I1232">
        <v>0</v>
      </c>
      <c r="J1232">
        <v>16.108079910000001</v>
      </c>
      <c r="K1232">
        <v>26.371120449999999</v>
      </c>
      <c r="N1232">
        <v>0</v>
      </c>
      <c r="O1232">
        <v>0</v>
      </c>
    </row>
    <row r="1233" spans="1:15">
      <c r="A1233">
        <v>0.50731089200000001</v>
      </c>
      <c r="B1233">
        <v>-0.75090441900000005</v>
      </c>
      <c r="C1233">
        <v>0.25365544600000001</v>
      </c>
      <c r="D1233">
        <v>-0.17669753999999999</v>
      </c>
      <c r="E1233">
        <v>0</v>
      </c>
      <c r="F1233">
        <v>33</v>
      </c>
      <c r="G1233">
        <v>10</v>
      </c>
      <c r="H1233">
        <v>0</v>
      </c>
      <c r="I1233">
        <v>1</v>
      </c>
      <c r="J1233">
        <v>23.5796299</v>
      </c>
      <c r="K1233">
        <v>20.643865590000001</v>
      </c>
      <c r="N1233">
        <v>0</v>
      </c>
      <c r="O1233">
        <v>0</v>
      </c>
    </row>
    <row r="1234" spans="1:15">
      <c r="A1234">
        <v>-0.13719082199999999</v>
      </c>
      <c r="B1234">
        <v>-0.39223682999999998</v>
      </c>
      <c r="C1234">
        <v>-6.8595410999999995E-2</v>
      </c>
      <c r="D1234">
        <v>-0.375225855</v>
      </c>
      <c r="E1234">
        <v>1</v>
      </c>
      <c r="F1234">
        <v>22</v>
      </c>
      <c r="G1234">
        <v>10</v>
      </c>
      <c r="H1234">
        <v>0</v>
      </c>
      <c r="I1234">
        <v>1</v>
      </c>
      <c r="J1234">
        <v>16.797288890000001</v>
      </c>
      <c r="K1234">
        <v>14.576854709999999</v>
      </c>
      <c r="N1234">
        <v>0</v>
      </c>
      <c r="O1234">
        <v>0</v>
      </c>
    </row>
    <row r="1235" spans="1:15">
      <c r="A1235">
        <v>-1.4764770920000001</v>
      </c>
      <c r="B1235">
        <v>0.70774416399999995</v>
      </c>
      <c r="C1235">
        <v>-0.73823854600000005</v>
      </c>
      <c r="D1235">
        <v>-0.53575469899999995</v>
      </c>
      <c r="E1235">
        <v>2</v>
      </c>
      <c r="F1235">
        <v>26</v>
      </c>
      <c r="G1235">
        <v>10</v>
      </c>
      <c r="H1235">
        <v>1</v>
      </c>
      <c r="I1235">
        <v>3</v>
      </c>
      <c r="J1235">
        <v>31.47094345</v>
      </c>
      <c r="K1235">
        <v>7.3411374089999999</v>
      </c>
      <c r="L1235">
        <v>7.3411374089999999</v>
      </c>
      <c r="M1235">
        <v>1.993493795</v>
      </c>
      <c r="N1235">
        <v>1</v>
      </c>
      <c r="O1235">
        <v>1.993493795</v>
      </c>
    </row>
    <row r="1236" spans="1:15">
      <c r="A1236">
        <v>-2.6522489519999999</v>
      </c>
      <c r="B1236">
        <v>-3.4526930999999997E-2</v>
      </c>
      <c r="C1236">
        <v>-1.3261244759999999</v>
      </c>
      <c r="D1236">
        <v>-1.8903228780000001</v>
      </c>
      <c r="E1236">
        <v>3</v>
      </c>
      <c r="F1236">
        <v>35</v>
      </c>
      <c r="G1236">
        <v>10</v>
      </c>
      <c r="H1236">
        <v>1</v>
      </c>
      <c r="I1236">
        <v>0</v>
      </c>
      <c r="J1236">
        <v>3.8161253930000001</v>
      </c>
      <c r="K1236">
        <v>2.0865063670000001</v>
      </c>
      <c r="N1236">
        <v>0</v>
      </c>
      <c r="O1236">
        <v>0</v>
      </c>
    </row>
    <row r="1237" spans="1:15">
      <c r="A1237">
        <v>-4.0742021000000003E-2</v>
      </c>
      <c r="B1237">
        <v>0.65582655599999995</v>
      </c>
      <c r="C1237">
        <v>-2.0371009999999998E-2</v>
      </c>
      <c r="D1237">
        <v>0.43735627900000001</v>
      </c>
      <c r="E1237">
        <v>4</v>
      </c>
      <c r="F1237">
        <v>28</v>
      </c>
      <c r="G1237">
        <v>12</v>
      </c>
      <c r="H1237">
        <v>1</v>
      </c>
      <c r="I1237">
        <v>1</v>
      </c>
      <c r="J1237">
        <v>35.44827652</v>
      </c>
      <c r="K1237">
        <v>18.355546950000001</v>
      </c>
      <c r="L1237">
        <v>18.355546950000001</v>
      </c>
      <c r="M1237">
        <v>2.909931898</v>
      </c>
      <c r="N1237">
        <v>1</v>
      </c>
      <c r="O1237">
        <v>2.909931898</v>
      </c>
    </row>
    <row r="1238" spans="1:15">
      <c r="A1238">
        <v>1.16479599</v>
      </c>
      <c r="B1238">
        <v>-0.73186012899999997</v>
      </c>
      <c r="C1238">
        <v>0.582397995</v>
      </c>
      <c r="D1238">
        <v>0.29935876</v>
      </c>
      <c r="E1238">
        <v>5</v>
      </c>
      <c r="F1238">
        <v>31</v>
      </c>
      <c r="G1238">
        <v>10</v>
      </c>
      <c r="H1238">
        <v>1</v>
      </c>
      <c r="I1238">
        <v>1</v>
      </c>
      <c r="J1238">
        <v>33.492305760000001</v>
      </c>
      <c r="K1238">
        <v>24.188776019999999</v>
      </c>
      <c r="L1238">
        <v>24.188776019999999</v>
      </c>
      <c r="M1238">
        <v>3.1858887669999998</v>
      </c>
      <c r="N1238">
        <v>1</v>
      </c>
      <c r="O1238">
        <v>3.1858887669999998</v>
      </c>
    </row>
    <row r="1239" spans="1:15">
      <c r="A1239">
        <v>-0.60513578899999998</v>
      </c>
      <c r="B1239">
        <v>0.72222984499999998</v>
      </c>
      <c r="C1239">
        <v>-0.30256789499999998</v>
      </c>
      <c r="D1239">
        <v>8.7504668999999993E-2</v>
      </c>
      <c r="E1239">
        <v>6</v>
      </c>
      <c r="F1239">
        <v>48</v>
      </c>
      <c r="G1239">
        <v>10</v>
      </c>
      <c r="H1239">
        <v>1</v>
      </c>
      <c r="I1239">
        <v>4</v>
      </c>
      <c r="J1239">
        <v>52.750057220000002</v>
      </c>
      <c r="K1239">
        <v>16.96918488</v>
      </c>
      <c r="L1239">
        <v>16.96918488</v>
      </c>
      <c r="M1239">
        <v>2.8313989639999999</v>
      </c>
      <c r="N1239">
        <v>1</v>
      </c>
      <c r="O1239">
        <v>2.8313989639999999</v>
      </c>
    </row>
    <row r="1240" spans="1:15">
      <c r="A1240">
        <v>1.186195817</v>
      </c>
      <c r="B1240">
        <v>-2.4132976230000001</v>
      </c>
      <c r="C1240">
        <v>0.59309790900000003</v>
      </c>
      <c r="D1240">
        <v>-0.88038288099999995</v>
      </c>
      <c r="E1240">
        <v>7</v>
      </c>
      <c r="F1240">
        <v>34</v>
      </c>
      <c r="G1240">
        <v>16</v>
      </c>
      <c r="H1240">
        <v>1</v>
      </c>
      <c r="I1240">
        <v>1</v>
      </c>
      <c r="J1240">
        <v>25.03540611</v>
      </c>
      <c r="K1240">
        <v>30.917175289999999</v>
      </c>
      <c r="N1240">
        <v>0</v>
      </c>
      <c r="O1240">
        <v>0</v>
      </c>
    </row>
    <row r="1241" spans="1:15">
      <c r="A1241">
        <v>1.2626018779999999</v>
      </c>
      <c r="B1241">
        <v>-0.91064082300000004</v>
      </c>
      <c r="C1241">
        <v>0.63130093899999995</v>
      </c>
      <c r="D1241">
        <v>0.241124693</v>
      </c>
      <c r="E1241">
        <v>8</v>
      </c>
      <c r="F1241">
        <v>38</v>
      </c>
      <c r="G1241">
        <v>12</v>
      </c>
      <c r="H1241">
        <v>1</v>
      </c>
      <c r="I1241">
        <v>2</v>
      </c>
      <c r="J1241">
        <v>42.093494419999999</v>
      </c>
      <c r="K1241">
        <v>28.175611499999999</v>
      </c>
      <c r="L1241">
        <v>28.175611499999999</v>
      </c>
      <c r="M1241">
        <v>3.3384568689999998</v>
      </c>
      <c r="N1241">
        <v>1</v>
      </c>
      <c r="O1241">
        <v>3.3384568689999998</v>
      </c>
    </row>
    <row r="1242" spans="1:15">
      <c r="A1242">
        <v>0.77862958800000004</v>
      </c>
      <c r="B1242">
        <v>-0.29769901300000001</v>
      </c>
      <c r="C1242">
        <v>0.38931479400000002</v>
      </c>
      <c r="D1242">
        <v>0.33620686599999999</v>
      </c>
      <c r="E1242">
        <v>9</v>
      </c>
      <c r="F1242">
        <v>58</v>
      </c>
      <c r="G1242">
        <v>12</v>
      </c>
      <c r="H1242">
        <v>1</v>
      </c>
      <c r="I1242">
        <v>1</v>
      </c>
      <c r="J1242">
        <v>46.234481809999998</v>
      </c>
      <c r="K1242">
        <v>29.27177811</v>
      </c>
      <c r="L1242">
        <v>29.27177811</v>
      </c>
      <c r="M1242">
        <v>3.3766238689999999</v>
      </c>
      <c r="N1242">
        <v>1</v>
      </c>
      <c r="O1242">
        <v>3.3766238689999999</v>
      </c>
    </row>
    <row r="1243" spans="1:15">
      <c r="A1243">
        <v>-0.72871407600000004</v>
      </c>
      <c r="B1243">
        <v>-0.76094997600000003</v>
      </c>
      <c r="C1243">
        <v>-0.36435703800000002</v>
      </c>
      <c r="D1243">
        <v>-1.053347397</v>
      </c>
      <c r="E1243">
        <v>0</v>
      </c>
      <c r="F1243">
        <v>25</v>
      </c>
      <c r="G1243">
        <v>10</v>
      </c>
      <c r="H1243">
        <v>0</v>
      </c>
      <c r="I1243">
        <v>0</v>
      </c>
      <c r="J1243">
        <v>4.8598313329999998</v>
      </c>
      <c r="K1243">
        <v>11.62771511</v>
      </c>
      <c r="N1243">
        <v>0</v>
      </c>
      <c r="O1243">
        <v>0</v>
      </c>
    </row>
    <row r="1244" spans="1:15">
      <c r="A1244">
        <v>0.40046675999999998</v>
      </c>
      <c r="B1244">
        <v>0.51817860999999998</v>
      </c>
      <c r="C1244">
        <v>0.20023337999999999</v>
      </c>
      <c r="D1244">
        <v>0.64992539699999996</v>
      </c>
      <c r="E1244">
        <v>1</v>
      </c>
      <c r="F1244">
        <v>22</v>
      </c>
      <c r="G1244">
        <v>10</v>
      </c>
      <c r="H1244">
        <v>0</v>
      </c>
      <c r="I1244">
        <v>0</v>
      </c>
      <c r="J1244">
        <v>24.099103929999998</v>
      </c>
      <c r="K1244">
        <v>17.802801129999999</v>
      </c>
      <c r="N1244">
        <v>0</v>
      </c>
      <c r="O1244">
        <v>0</v>
      </c>
    </row>
    <row r="1245" spans="1:15">
      <c r="A1245">
        <v>-0.87058955100000002</v>
      </c>
      <c r="B1245">
        <v>1.7892224880000001</v>
      </c>
      <c r="C1245">
        <v>-0.43529477599999999</v>
      </c>
      <c r="D1245">
        <v>0.65894843400000003</v>
      </c>
      <c r="E1245">
        <v>2</v>
      </c>
      <c r="F1245">
        <v>27</v>
      </c>
      <c r="G1245">
        <v>10</v>
      </c>
      <c r="H1245">
        <v>1</v>
      </c>
      <c r="I1245">
        <v>1</v>
      </c>
      <c r="J1245">
        <v>36.207382199999998</v>
      </c>
      <c r="K1245">
        <v>11.17646313</v>
      </c>
      <c r="L1245">
        <v>11.17646313</v>
      </c>
      <c r="M1245">
        <v>2.4138100150000001</v>
      </c>
      <c r="N1245">
        <v>1</v>
      </c>
      <c r="O1245">
        <v>2.4138100150000001</v>
      </c>
    </row>
    <row r="1246" spans="1:15">
      <c r="A1246">
        <v>-0.22164709099999999</v>
      </c>
      <c r="B1246">
        <v>-1.56140865</v>
      </c>
      <c r="C1246">
        <v>-0.110823545</v>
      </c>
      <c r="D1246">
        <v>-1.2654287820000001</v>
      </c>
      <c r="E1246">
        <v>3</v>
      </c>
      <c r="F1246">
        <v>27</v>
      </c>
      <c r="G1246">
        <v>12</v>
      </c>
      <c r="H1246">
        <v>1</v>
      </c>
      <c r="I1246">
        <v>1</v>
      </c>
      <c r="J1246">
        <v>14.614854810000001</v>
      </c>
      <c r="K1246">
        <v>17.07011795</v>
      </c>
      <c r="N1246">
        <v>0</v>
      </c>
      <c r="O1246">
        <v>0</v>
      </c>
    </row>
    <row r="1247" spans="1:15">
      <c r="A1247">
        <v>-0.71019063000000004</v>
      </c>
      <c r="B1247">
        <v>-0.56240313099999995</v>
      </c>
      <c r="C1247">
        <v>-0.35509531500000002</v>
      </c>
      <c r="D1247">
        <v>-0.89923321199999995</v>
      </c>
      <c r="E1247">
        <v>4</v>
      </c>
      <c r="F1247">
        <v>39</v>
      </c>
      <c r="G1247">
        <v>12</v>
      </c>
      <c r="H1247">
        <v>1</v>
      </c>
      <c r="I1247">
        <v>2</v>
      </c>
      <c r="J1247">
        <v>28.809202190000001</v>
      </c>
      <c r="K1247">
        <v>16.538856509999999</v>
      </c>
      <c r="N1247">
        <v>0</v>
      </c>
      <c r="O1247">
        <v>0</v>
      </c>
    </row>
    <row r="1248" spans="1:15">
      <c r="A1248">
        <v>1.599495098</v>
      </c>
      <c r="B1248">
        <v>1.5007985740000001</v>
      </c>
      <c r="C1248">
        <v>0.799747549</v>
      </c>
      <c r="D1248">
        <v>2.191641009</v>
      </c>
      <c r="E1248">
        <v>5</v>
      </c>
      <c r="F1248">
        <v>39</v>
      </c>
      <c r="G1248">
        <v>16</v>
      </c>
      <c r="H1248">
        <v>1</v>
      </c>
      <c r="I1248">
        <v>0</v>
      </c>
      <c r="J1248">
        <v>58.899692539999997</v>
      </c>
      <c r="K1248">
        <v>34.39696884</v>
      </c>
      <c r="L1248">
        <v>34.39696884</v>
      </c>
      <c r="M1248">
        <v>3.5379683970000002</v>
      </c>
      <c r="N1248">
        <v>1</v>
      </c>
      <c r="O1248">
        <v>3.5379683970000002</v>
      </c>
    </row>
    <row r="1249" spans="1:15">
      <c r="A1249">
        <v>1.0483401130000001</v>
      </c>
      <c r="B1249">
        <v>0.315270948</v>
      </c>
      <c r="C1249">
        <v>0.52417005699999997</v>
      </c>
      <c r="D1249">
        <v>0.96150546299999995</v>
      </c>
      <c r="E1249">
        <v>6</v>
      </c>
      <c r="F1249">
        <v>55</v>
      </c>
      <c r="G1249">
        <v>20</v>
      </c>
      <c r="H1249">
        <v>1</v>
      </c>
      <c r="I1249">
        <v>1</v>
      </c>
      <c r="J1249">
        <v>58.538066860000001</v>
      </c>
      <c r="K1249">
        <v>38.290039059999998</v>
      </c>
      <c r="L1249">
        <v>38.290039059999998</v>
      </c>
      <c r="M1249">
        <v>3.6451897620000002</v>
      </c>
      <c r="N1249">
        <v>1</v>
      </c>
      <c r="O1249">
        <v>3.6451897620000002</v>
      </c>
    </row>
    <row r="1250" spans="1:15">
      <c r="A1250">
        <v>0.94147988800000004</v>
      </c>
      <c r="B1250">
        <v>2.355986551</v>
      </c>
      <c r="C1250">
        <v>0.47073994400000002</v>
      </c>
      <c r="D1250">
        <v>2.3364237609999998</v>
      </c>
      <c r="E1250">
        <v>7</v>
      </c>
      <c r="F1250">
        <v>37</v>
      </c>
      <c r="G1250">
        <v>16</v>
      </c>
      <c r="H1250">
        <v>1</v>
      </c>
      <c r="I1250">
        <v>4</v>
      </c>
      <c r="J1250">
        <v>79.837081909999995</v>
      </c>
      <c r="K1250">
        <v>30.048879620000001</v>
      </c>
      <c r="L1250">
        <v>30.048879620000001</v>
      </c>
      <c r="M1250">
        <v>3.4028253560000001</v>
      </c>
      <c r="N1250">
        <v>1</v>
      </c>
      <c r="O1250">
        <v>3.4028253560000001</v>
      </c>
    </row>
    <row r="1251" spans="1:15">
      <c r="A1251">
        <v>-0.83711101099999996</v>
      </c>
      <c r="B1251">
        <v>-1.0802810140000001</v>
      </c>
      <c r="C1251">
        <v>-0.41855550600000002</v>
      </c>
      <c r="D1251">
        <v>-1.356512097</v>
      </c>
      <c r="E1251">
        <v>8</v>
      </c>
      <c r="F1251">
        <v>50</v>
      </c>
      <c r="G1251">
        <v>16</v>
      </c>
      <c r="H1251">
        <v>1</v>
      </c>
      <c r="I1251">
        <v>0</v>
      </c>
      <c r="J1251">
        <v>20.72185516</v>
      </c>
      <c r="K1251">
        <v>21.97733307</v>
      </c>
      <c r="N1251">
        <v>0</v>
      </c>
      <c r="O1251">
        <v>0</v>
      </c>
    </row>
    <row r="1252" spans="1:15">
      <c r="A1252">
        <v>0.45736622700000001</v>
      </c>
      <c r="B1252">
        <v>-1.730379154</v>
      </c>
      <c r="C1252">
        <v>0.22868311299999999</v>
      </c>
      <c r="D1252">
        <v>-0.90782748899999999</v>
      </c>
      <c r="E1252">
        <v>9</v>
      </c>
      <c r="F1252">
        <v>40</v>
      </c>
      <c r="G1252">
        <v>16</v>
      </c>
      <c r="H1252">
        <v>1</v>
      </c>
      <c r="I1252">
        <v>3</v>
      </c>
      <c r="J1252">
        <v>37.106071470000003</v>
      </c>
      <c r="K1252">
        <v>27.744197849999999</v>
      </c>
      <c r="L1252">
        <v>27.744197849999999</v>
      </c>
      <c r="M1252">
        <v>3.3230266570000002</v>
      </c>
      <c r="N1252">
        <v>1</v>
      </c>
      <c r="O1252">
        <v>3.3230266570000002</v>
      </c>
    </row>
    <row r="1253" spans="1:15">
      <c r="A1253">
        <v>0.150065012</v>
      </c>
      <c r="B1253">
        <v>2.980044387</v>
      </c>
      <c r="C1253">
        <v>7.5032505999999999E-2</v>
      </c>
      <c r="D1253">
        <v>2.22312683</v>
      </c>
      <c r="E1253">
        <v>0</v>
      </c>
      <c r="F1253">
        <v>48</v>
      </c>
      <c r="G1253">
        <v>10</v>
      </c>
      <c r="H1253">
        <v>0</v>
      </c>
      <c r="I1253">
        <v>0</v>
      </c>
      <c r="J1253">
        <v>53.377521510000001</v>
      </c>
      <c r="K1253">
        <v>21.500391010000001</v>
      </c>
      <c r="L1253">
        <v>21.500391010000001</v>
      </c>
      <c r="M1253">
        <v>3.0680711270000001</v>
      </c>
      <c r="N1253">
        <v>1</v>
      </c>
      <c r="O1253">
        <v>3.0680711270000001</v>
      </c>
    </row>
    <row r="1254" spans="1:15">
      <c r="A1254">
        <v>-0.34235354099999998</v>
      </c>
      <c r="B1254">
        <v>-0.38256202700000003</v>
      </c>
      <c r="C1254">
        <v>-0.17117677000000001</v>
      </c>
      <c r="D1254">
        <v>-0.51267781400000001</v>
      </c>
      <c r="E1254">
        <v>1</v>
      </c>
      <c r="F1254">
        <v>24</v>
      </c>
      <c r="G1254">
        <v>12</v>
      </c>
      <c r="H1254">
        <v>1</v>
      </c>
      <c r="I1254">
        <v>0</v>
      </c>
      <c r="J1254">
        <v>17.447866439999999</v>
      </c>
      <c r="K1254">
        <v>15.74587917</v>
      </c>
      <c r="N1254">
        <v>0</v>
      </c>
      <c r="O1254">
        <v>0</v>
      </c>
    </row>
    <row r="1255" spans="1:15">
      <c r="A1255">
        <v>-0.20118021899999999</v>
      </c>
      <c r="B1255">
        <v>0.15906548000000001</v>
      </c>
      <c r="C1255">
        <v>-0.100590109</v>
      </c>
      <c r="D1255">
        <v>-2.8496344999999999E-2</v>
      </c>
      <c r="E1255">
        <v>2</v>
      </c>
      <c r="F1255">
        <v>24</v>
      </c>
      <c r="G1255">
        <v>10</v>
      </c>
      <c r="H1255">
        <v>1</v>
      </c>
      <c r="I1255">
        <v>0</v>
      </c>
      <c r="J1255">
        <v>21.75804329</v>
      </c>
      <c r="K1255">
        <v>14.5929184</v>
      </c>
      <c r="N1255">
        <v>0</v>
      </c>
      <c r="O1255">
        <v>0</v>
      </c>
    </row>
    <row r="1256" spans="1:15">
      <c r="A1256">
        <v>-0.31476369599999998</v>
      </c>
      <c r="B1256">
        <v>-1.8568352939999999</v>
      </c>
      <c r="C1256">
        <v>-0.15738184799999999</v>
      </c>
      <c r="D1256">
        <v>-1.540858179</v>
      </c>
      <c r="E1256">
        <v>3</v>
      </c>
      <c r="F1256">
        <v>27</v>
      </c>
      <c r="G1256">
        <v>10</v>
      </c>
      <c r="H1256">
        <v>0</v>
      </c>
      <c r="I1256">
        <v>4</v>
      </c>
      <c r="J1256">
        <v>19.809701919999998</v>
      </c>
      <c r="K1256">
        <v>14.51141739</v>
      </c>
      <c r="N1256">
        <v>0</v>
      </c>
      <c r="O1256">
        <v>0</v>
      </c>
    </row>
    <row r="1257" spans="1:15">
      <c r="A1257">
        <v>0.98555437099999998</v>
      </c>
      <c r="B1257">
        <v>-0.59203547300000003</v>
      </c>
      <c r="C1257">
        <v>0.49277718500000001</v>
      </c>
      <c r="D1257">
        <v>0.27262351000000001</v>
      </c>
      <c r="E1257">
        <v>4</v>
      </c>
      <c r="F1257">
        <v>44</v>
      </c>
      <c r="G1257">
        <v>16</v>
      </c>
      <c r="H1257">
        <v>1</v>
      </c>
      <c r="I1257">
        <v>3</v>
      </c>
      <c r="J1257">
        <v>52.87148285</v>
      </c>
      <c r="K1257">
        <v>31.7133255</v>
      </c>
      <c r="L1257">
        <v>31.7133255</v>
      </c>
      <c r="M1257">
        <v>3.4567370409999998</v>
      </c>
      <c r="N1257">
        <v>1</v>
      </c>
      <c r="O1257">
        <v>3.4567370409999998</v>
      </c>
    </row>
    <row r="1258" spans="1:15">
      <c r="A1258">
        <v>0.33295068999999999</v>
      </c>
      <c r="B1258">
        <v>1.809348151</v>
      </c>
      <c r="C1258">
        <v>0.166475345</v>
      </c>
      <c r="D1258">
        <v>1.5199088460000001</v>
      </c>
      <c r="E1258">
        <v>5</v>
      </c>
      <c r="F1258">
        <v>36</v>
      </c>
      <c r="G1258">
        <v>12</v>
      </c>
      <c r="H1258">
        <v>0</v>
      </c>
      <c r="I1258">
        <v>1</v>
      </c>
      <c r="J1258">
        <v>46.638904570000001</v>
      </c>
      <c r="K1258">
        <v>22.19770432</v>
      </c>
      <c r="L1258">
        <v>22.19770432</v>
      </c>
      <c r="M1258">
        <v>3.099988937</v>
      </c>
      <c r="N1258">
        <v>1</v>
      </c>
      <c r="O1258">
        <v>3.099988937</v>
      </c>
    </row>
    <row r="1259" spans="1:15">
      <c r="A1259">
        <v>-0.49903319200000001</v>
      </c>
      <c r="B1259">
        <v>-1.3158149079999999</v>
      </c>
      <c r="C1259">
        <v>-0.24951659600000001</v>
      </c>
      <c r="D1259">
        <v>-1.286048748</v>
      </c>
      <c r="E1259">
        <v>6</v>
      </c>
      <c r="F1259">
        <v>36</v>
      </c>
      <c r="G1259">
        <v>16</v>
      </c>
      <c r="H1259">
        <v>1</v>
      </c>
      <c r="I1259">
        <v>3</v>
      </c>
      <c r="J1259">
        <v>30.967414860000002</v>
      </c>
      <c r="K1259">
        <v>21.205801009999998</v>
      </c>
      <c r="L1259">
        <v>21.205801009999998</v>
      </c>
      <c r="M1259">
        <v>3.0542747970000002</v>
      </c>
      <c r="N1259">
        <v>1</v>
      </c>
      <c r="O1259">
        <v>3.0542747970000002</v>
      </c>
    </row>
    <row r="1260" spans="1:15">
      <c r="A1260">
        <v>-0.38763425099999999</v>
      </c>
      <c r="B1260">
        <v>0.59289932899999997</v>
      </c>
      <c r="C1260">
        <v>-0.19381712500000001</v>
      </c>
      <c r="D1260">
        <v>0.14861171300000001</v>
      </c>
      <c r="E1260">
        <v>7</v>
      </c>
      <c r="F1260">
        <v>35</v>
      </c>
      <c r="G1260">
        <v>16</v>
      </c>
      <c r="H1260">
        <v>1</v>
      </c>
      <c r="I1260">
        <v>1</v>
      </c>
      <c r="J1260">
        <v>37.783340449999997</v>
      </c>
      <c r="K1260">
        <v>21.67419434</v>
      </c>
      <c r="L1260">
        <v>21.67419434</v>
      </c>
      <c r="M1260">
        <v>3.0761222840000002</v>
      </c>
      <c r="N1260">
        <v>1</v>
      </c>
      <c r="O1260">
        <v>3.0761222840000002</v>
      </c>
    </row>
    <row r="1261" spans="1:15">
      <c r="A1261">
        <v>-0.92552404399999999</v>
      </c>
      <c r="B1261">
        <v>0.44498940100000001</v>
      </c>
      <c r="C1261">
        <v>-0.462762022</v>
      </c>
      <c r="D1261">
        <v>-0.33488172199999999</v>
      </c>
      <c r="E1261">
        <v>8</v>
      </c>
      <c r="F1261">
        <v>41</v>
      </c>
      <c r="G1261">
        <v>12</v>
      </c>
      <c r="H1261">
        <v>1</v>
      </c>
      <c r="I1261">
        <v>5</v>
      </c>
      <c r="J1261">
        <v>51.381420140000003</v>
      </c>
      <c r="K1261">
        <v>15.646855349999999</v>
      </c>
      <c r="L1261">
        <v>15.646855349999999</v>
      </c>
      <c r="M1261">
        <v>2.7502698900000002</v>
      </c>
      <c r="N1261">
        <v>1</v>
      </c>
      <c r="O1261">
        <v>2.7502698900000002</v>
      </c>
    </row>
    <row r="1262" spans="1:15">
      <c r="A1262">
        <v>-0.24168167600000001</v>
      </c>
      <c r="B1262">
        <v>-0.69225373400000001</v>
      </c>
      <c r="C1262">
        <v>-0.12084083800000001</v>
      </c>
      <c r="D1262">
        <v>-0.66191849000000003</v>
      </c>
      <c r="E1262">
        <v>9</v>
      </c>
      <c r="F1262">
        <v>38</v>
      </c>
      <c r="G1262">
        <v>16</v>
      </c>
      <c r="H1262">
        <v>1</v>
      </c>
      <c r="I1262">
        <v>2</v>
      </c>
      <c r="J1262">
        <v>34.256977079999999</v>
      </c>
      <c r="K1262">
        <v>23.14990997</v>
      </c>
      <c r="L1262">
        <v>23.14990997</v>
      </c>
      <c r="M1262">
        <v>3.1419909000000001</v>
      </c>
      <c r="N1262">
        <v>1</v>
      </c>
      <c r="O1262">
        <v>3.1419909000000001</v>
      </c>
    </row>
    <row r="1263" spans="1:15">
      <c r="A1263">
        <v>-0.16703437600000001</v>
      </c>
      <c r="B1263">
        <v>0.81136170900000004</v>
      </c>
      <c r="C1263">
        <v>-8.3517188000000006E-2</v>
      </c>
      <c r="D1263">
        <v>0.45903303499999998</v>
      </c>
      <c r="E1263">
        <v>0</v>
      </c>
      <c r="F1263">
        <v>22</v>
      </c>
      <c r="G1263">
        <v>10</v>
      </c>
      <c r="H1263">
        <v>0</v>
      </c>
      <c r="I1263">
        <v>0</v>
      </c>
      <c r="J1263">
        <v>21.808397289999998</v>
      </c>
      <c r="K1263">
        <v>14.39779377</v>
      </c>
      <c r="N1263">
        <v>0</v>
      </c>
      <c r="O1263">
        <v>0</v>
      </c>
    </row>
    <row r="1264" spans="1:15">
      <c r="A1264">
        <v>-0.49847254899999999</v>
      </c>
      <c r="B1264">
        <v>-1.419545531</v>
      </c>
      <c r="C1264">
        <v>-0.24923627500000001</v>
      </c>
      <c r="D1264">
        <v>-1.359363257</v>
      </c>
      <c r="E1264">
        <v>1</v>
      </c>
      <c r="F1264">
        <v>23</v>
      </c>
      <c r="G1264">
        <v>10</v>
      </c>
      <c r="H1264">
        <v>0</v>
      </c>
      <c r="I1264">
        <v>3</v>
      </c>
      <c r="J1264">
        <v>15.38764095</v>
      </c>
      <c r="K1264">
        <v>12.60916424</v>
      </c>
      <c r="N1264">
        <v>0</v>
      </c>
      <c r="O1264">
        <v>0</v>
      </c>
    </row>
    <row r="1265" spans="1:15">
      <c r="A1265">
        <v>-1.635385952</v>
      </c>
      <c r="B1265">
        <v>3.6751709E-2</v>
      </c>
      <c r="C1265">
        <v>-0.81769297600000002</v>
      </c>
      <c r="D1265">
        <v>-1.1243368069999999</v>
      </c>
      <c r="E1265">
        <v>2</v>
      </c>
      <c r="F1265">
        <v>29</v>
      </c>
      <c r="G1265">
        <v>10</v>
      </c>
      <c r="H1265">
        <v>0</v>
      </c>
      <c r="I1265">
        <v>1</v>
      </c>
      <c r="J1265">
        <v>10.607957839999999</v>
      </c>
      <c r="K1265">
        <v>6.98768425</v>
      </c>
      <c r="N1265">
        <v>0</v>
      </c>
      <c r="O1265">
        <v>0</v>
      </c>
    </row>
    <row r="1266" spans="1:15">
      <c r="A1266">
        <v>0.15525829299999999</v>
      </c>
      <c r="B1266">
        <v>-1.29608864</v>
      </c>
      <c r="C1266">
        <v>7.7629145999999996E-2</v>
      </c>
      <c r="D1266">
        <v>-0.81175447099999998</v>
      </c>
      <c r="E1266">
        <v>3</v>
      </c>
      <c r="F1266">
        <v>33</v>
      </c>
      <c r="G1266">
        <v>12</v>
      </c>
      <c r="H1266">
        <v>0</v>
      </c>
      <c r="I1266">
        <v>4</v>
      </c>
      <c r="J1266">
        <v>32.458946230000002</v>
      </c>
      <c r="K1266">
        <v>20.53154945</v>
      </c>
      <c r="L1266">
        <v>20.53154945</v>
      </c>
      <c r="M1266">
        <v>3.0219626430000002</v>
      </c>
      <c r="N1266">
        <v>1</v>
      </c>
      <c r="O1266">
        <v>3.0219626430000002</v>
      </c>
    </row>
    <row r="1267" spans="1:15">
      <c r="A1267">
        <v>-0.25079390000000001</v>
      </c>
      <c r="B1267">
        <v>0.416302057</v>
      </c>
      <c r="C1267">
        <v>-0.12539695000000001</v>
      </c>
      <c r="D1267">
        <v>0.119388878</v>
      </c>
      <c r="E1267">
        <v>4</v>
      </c>
      <c r="F1267">
        <v>30</v>
      </c>
      <c r="G1267">
        <v>10</v>
      </c>
      <c r="H1267">
        <v>1</v>
      </c>
      <c r="I1267">
        <v>3</v>
      </c>
      <c r="J1267">
        <v>40.932666779999998</v>
      </c>
      <c r="K1267">
        <v>15.4952364</v>
      </c>
      <c r="L1267">
        <v>15.4952364</v>
      </c>
      <c r="M1267">
        <v>2.7405326369999998</v>
      </c>
      <c r="N1267">
        <v>1</v>
      </c>
      <c r="O1267">
        <v>2.7405326369999998</v>
      </c>
    </row>
    <row r="1268" spans="1:15">
      <c r="A1268">
        <v>1.030931093</v>
      </c>
      <c r="B1268">
        <v>-0.14738111500000001</v>
      </c>
      <c r="C1268">
        <v>0.51546554600000005</v>
      </c>
      <c r="D1268">
        <v>0.62050735999999995</v>
      </c>
      <c r="E1268">
        <v>5</v>
      </c>
      <c r="F1268">
        <v>42</v>
      </c>
      <c r="G1268">
        <v>16</v>
      </c>
      <c r="H1268">
        <v>0</v>
      </c>
      <c r="I1268">
        <v>2</v>
      </c>
      <c r="J1268">
        <v>46.246089939999997</v>
      </c>
      <c r="K1268">
        <v>31.585586549999999</v>
      </c>
      <c r="L1268">
        <v>31.585586549999999</v>
      </c>
      <c r="M1268">
        <v>3.4527008530000001</v>
      </c>
      <c r="N1268">
        <v>1</v>
      </c>
      <c r="O1268">
        <v>3.4527008530000001</v>
      </c>
    </row>
    <row r="1269" spans="1:15">
      <c r="A1269">
        <v>1.9547967989999999</v>
      </c>
      <c r="B1269">
        <v>-1.7098317839999999</v>
      </c>
      <c r="C1269">
        <v>0.9773984</v>
      </c>
      <c r="D1269">
        <v>0.16017684700000001</v>
      </c>
      <c r="E1269">
        <v>6</v>
      </c>
      <c r="F1269">
        <v>49</v>
      </c>
      <c r="G1269">
        <v>12</v>
      </c>
      <c r="H1269">
        <v>1</v>
      </c>
      <c r="I1269">
        <v>4</v>
      </c>
      <c r="J1269">
        <v>55.522121429999999</v>
      </c>
      <c r="K1269">
        <v>34.528781889999998</v>
      </c>
      <c r="L1269">
        <v>34.528781889999998</v>
      </c>
      <c r="M1269">
        <v>3.541793346</v>
      </c>
      <c r="N1269">
        <v>1</v>
      </c>
      <c r="O1269">
        <v>3.541793346</v>
      </c>
    </row>
    <row r="1270" spans="1:15">
      <c r="A1270">
        <v>-1.1840606579999999</v>
      </c>
      <c r="B1270">
        <v>-0.90834138200000003</v>
      </c>
      <c r="C1270">
        <v>-0.59203032899999997</v>
      </c>
      <c r="D1270">
        <v>-1.47840536</v>
      </c>
      <c r="E1270">
        <v>7</v>
      </c>
      <c r="F1270">
        <v>34</v>
      </c>
      <c r="G1270">
        <v>12</v>
      </c>
      <c r="H1270">
        <v>1</v>
      </c>
      <c r="I1270">
        <v>4</v>
      </c>
      <c r="J1270">
        <v>29.859136580000001</v>
      </c>
      <c r="K1270">
        <v>12.6956358</v>
      </c>
      <c r="L1270">
        <v>12.6956358</v>
      </c>
      <c r="M1270">
        <v>2.5412583350000002</v>
      </c>
      <c r="N1270">
        <v>1</v>
      </c>
      <c r="O1270">
        <v>2.5412583350000002</v>
      </c>
    </row>
    <row r="1271" spans="1:15">
      <c r="A1271">
        <v>0.48473866900000001</v>
      </c>
      <c r="B1271">
        <v>-1.6712624730000001</v>
      </c>
      <c r="C1271">
        <v>0.24236933499999999</v>
      </c>
      <c r="D1271">
        <v>-0.84656454999999997</v>
      </c>
      <c r="E1271">
        <v>8</v>
      </c>
      <c r="F1271">
        <v>40</v>
      </c>
      <c r="G1271">
        <v>12</v>
      </c>
      <c r="H1271">
        <v>1</v>
      </c>
      <c r="I1271">
        <v>4</v>
      </c>
      <c r="J1271">
        <v>39.841224670000003</v>
      </c>
      <c r="K1271">
        <v>23.908432009999999</v>
      </c>
      <c r="L1271">
        <v>23.908432009999999</v>
      </c>
      <c r="M1271">
        <v>3.1742312909999999</v>
      </c>
      <c r="N1271">
        <v>1</v>
      </c>
      <c r="O1271">
        <v>3.1742312909999999</v>
      </c>
    </row>
    <row r="1272" spans="1:15">
      <c r="A1272">
        <v>0.75888106300000002</v>
      </c>
      <c r="B1272">
        <v>4.3475429000000003E-2</v>
      </c>
      <c r="C1272">
        <v>0.37944053100000003</v>
      </c>
      <c r="D1272">
        <v>0.56474602500000004</v>
      </c>
      <c r="E1272">
        <v>9</v>
      </c>
      <c r="F1272">
        <v>47</v>
      </c>
      <c r="G1272">
        <v>16</v>
      </c>
      <c r="H1272">
        <v>1</v>
      </c>
      <c r="I1272">
        <v>1</v>
      </c>
      <c r="J1272">
        <v>47.576953889999999</v>
      </c>
      <c r="K1272">
        <v>30.953287119999999</v>
      </c>
      <c r="L1272">
        <v>30.953287119999999</v>
      </c>
      <c r="M1272">
        <v>3.4324791430000001</v>
      </c>
      <c r="N1272">
        <v>1</v>
      </c>
      <c r="O1272">
        <v>3.4324791430000001</v>
      </c>
    </row>
    <row r="1273" spans="1:15">
      <c r="A1273">
        <v>-0.203597114</v>
      </c>
      <c r="B1273">
        <v>-0.206902898</v>
      </c>
      <c r="C1273">
        <v>-0.101798557</v>
      </c>
      <c r="D1273">
        <v>-0.290246381</v>
      </c>
      <c r="E1273">
        <v>0</v>
      </c>
      <c r="F1273">
        <v>32</v>
      </c>
      <c r="G1273">
        <v>10</v>
      </c>
      <c r="H1273">
        <v>0</v>
      </c>
      <c r="I1273">
        <v>0</v>
      </c>
      <c r="J1273">
        <v>16.817043300000002</v>
      </c>
      <c r="K1273">
        <v>16.178417209999999</v>
      </c>
      <c r="N1273">
        <v>0</v>
      </c>
      <c r="O1273">
        <v>0</v>
      </c>
    </row>
    <row r="1274" spans="1:15">
      <c r="A1274">
        <v>1.6157924880000001</v>
      </c>
      <c r="B1274">
        <v>0.43986091300000002</v>
      </c>
      <c r="C1274">
        <v>0.80789624400000004</v>
      </c>
      <c r="D1274">
        <v>1.4492247110000001</v>
      </c>
      <c r="E1274">
        <v>1</v>
      </c>
      <c r="F1274">
        <v>23</v>
      </c>
      <c r="G1274">
        <v>10</v>
      </c>
      <c r="H1274">
        <v>0</v>
      </c>
      <c r="I1274">
        <v>1</v>
      </c>
      <c r="J1274">
        <v>39.090698240000002</v>
      </c>
      <c r="K1274">
        <v>25.29475403</v>
      </c>
      <c r="L1274">
        <v>25.29475403</v>
      </c>
      <c r="M1274">
        <v>3.2305970190000002</v>
      </c>
      <c r="N1274">
        <v>1</v>
      </c>
      <c r="O1274">
        <v>3.2305970190000002</v>
      </c>
    </row>
    <row r="1275" spans="1:15">
      <c r="A1275">
        <v>1.1910104420000001</v>
      </c>
      <c r="B1275">
        <v>-1.326170904</v>
      </c>
      <c r="C1275">
        <v>0.59550522100000003</v>
      </c>
      <c r="D1275">
        <v>-0.104505404</v>
      </c>
      <c r="E1275">
        <v>2</v>
      </c>
      <c r="F1275">
        <v>35</v>
      </c>
      <c r="G1275">
        <v>12</v>
      </c>
      <c r="H1275">
        <v>0</v>
      </c>
      <c r="I1275">
        <v>1</v>
      </c>
      <c r="J1275">
        <v>26.74593544</v>
      </c>
      <c r="K1275">
        <v>27.14606285</v>
      </c>
      <c r="N1275">
        <v>0</v>
      </c>
      <c r="O1275">
        <v>0</v>
      </c>
    </row>
    <row r="1276" spans="1:15">
      <c r="A1276">
        <v>-2.3468144999999999E-2</v>
      </c>
      <c r="B1276">
        <v>0.58981256400000004</v>
      </c>
      <c r="C1276">
        <v>-1.1734072999999999E-2</v>
      </c>
      <c r="D1276">
        <v>0.40259978200000002</v>
      </c>
      <c r="E1276">
        <v>3</v>
      </c>
      <c r="F1276">
        <v>27</v>
      </c>
      <c r="G1276">
        <v>12</v>
      </c>
      <c r="H1276">
        <v>1</v>
      </c>
      <c r="I1276">
        <v>2</v>
      </c>
      <c r="J1276">
        <v>39.631198879999999</v>
      </c>
      <c r="K1276">
        <v>18.259191510000001</v>
      </c>
      <c r="L1276">
        <v>18.259191510000001</v>
      </c>
      <c r="M1276">
        <v>2.9046685700000001</v>
      </c>
      <c r="N1276">
        <v>1</v>
      </c>
      <c r="O1276">
        <v>2.9046685700000001</v>
      </c>
    </row>
    <row r="1277" spans="1:15">
      <c r="A1277">
        <v>-1.377722294</v>
      </c>
      <c r="B1277">
        <v>0.29524540199999999</v>
      </c>
      <c r="C1277">
        <v>-0.68886114700000001</v>
      </c>
      <c r="D1277">
        <v>-0.75939661899999999</v>
      </c>
      <c r="E1277">
        <v>4</v>
      </c>
      <c r="F1277">
        <v>45</v>
      </c>
      <c r="G1277">
        <v>10</v>
      </c>
      <c r="H1277">
        <v>1</v>
      </c>
      <c r="I1277">
        <v>4</v>
      </c>
      <c r="J1277">
        <v>41.387241359999997</v>
      </c>
      <c r="K1277">
        <v>11.73366642</v>
      </c>
      <c r="L1277">
        <v>11.73366642</v>
      </c>
      <c r="M1277">
        <v>2.4624621869999999</v>
      </c>
      <c r="N1277">
        <v>1</v>
      </c>
      <c r="O1277">
        <v>2.4624621869999999</v>
      </c>
    </row>
    <row r="1278" spans="1:15">
      <c r="A1278">
        <v>0.58788079299999996</v>
      </c>
      <c r="B1278">
        <v>0.27865047399999998</v>
      </c>
      <c r="C1278">
        <v>0.29394039700000002</v>
      </c>
      <c r="D1278">
        <v>0.61156243099999996</v>
      </c>
      <c r="E1278">
        <v>5</v>
      </c>
      <c r="F1278">
        <v>41</v>
      </c>
      <c r="G1278">
        <v>10</v>
      </c>
      <c r="H1278">
        <v>1</v>
      </c>
      <c r="I1278">
        <v>0</v>
      </c>
      <c r="J1278">
        <v>36.238750459999999</v>
      </c>
      <c r="K1278">
        <v>22.727285389999999</v>
      </c>
      <c r="L1278">
        <v>22.727285389999999</v>
      </c>
      <c r="M1278">
        <v>3.1235661509999999</v>
      </c>
      <c r="N1278">
        <v>1</v>
      </c>
      <c r="O1278">
        <v>3.1235661509999999</v>
      </c>
    </row>
    <row r="1279" spans="1:15">
      <c r="A1279">
        <v>-0.15068464600000001</v>
      </c>
      <c r="B1279">
        <v>2.3148126000000002E-2</v>
      </c>
      <c r="C1279">
        <v>-7.5342323000000003E-2</v>
      </c>
      <c r="D1279">
        <v>-8.9554167000000004E-2</v>
      </c>
      <c r="E1279">
        <v>6</v>
      </c>
      <c r="F1279">
        <v>40</v>
      </c>
      <c r="G1279">
        <v>12</v>
      </c>
      <c r="H1279">
        <v>1</v>
      </c>
      <c r="I1279">
        <v>1</v>
      </c>
      <c r="J1279">
        <v>33.925350190000003</v>
      </c>
      <c r="K1279">
        <v>20.095891949999999</v>
      </c>
      <c r="L1279">
        <v>20.095891949999999</v>
      </c>
      <c r="M1279">
        <v>3.000515461</v>
      </c>
      <c r="N1279">
        <v>1</v>
      </c>
      <c r="O1279">
        <v>3.000515461</v>
      </c>
    </row>
    <row r="1280" spans="1:15">
      <c r="A1280">
        <v>-0.96229594799999996</v>
      </c>
      <c r="B1280">
        <v>0.122595891</v>
      </c>
      <c r="C1280">
        <v>-0.48114797399999998</v>
      </c>
      <c r="D1280">
        <v>-0.58983618999999998</v>
      </c>
      <c r="E1280">
        <v>7</v>
      </c>
      <c r="F1280">
        <v>45</v>
      </c>
      <c r="G1280">
        <v>16</v>
      </c>
      <c r="H1280">
        <v>1</v>
      </c>
      <c r="I1280">
        <v>5</v>
      </c>
      <c r="J1280">
        <v>52.92196655</v>
      </c>
      <c r="K1280">
        <v>20.226224899999998</v>
      </c>
      <c r="L1280">
        <v>20.226224899999998</v>
      </c>
      <c r="M1280">
        <v>3.0069799420000001</v>
      </c>
      <c r="N1280">
        <v>1</v>
      </c>
      <c r="O1280">
        <v>3.0069799420000001</v>
      </c>
    </row>
    <row r="1281" spans="1:15">
      <c r="A1281">
        <v>-0.496856831</v>
      </c>
      <c r="B1281">
        <v>-0.318973373</v>
      </c>
      <c r="C1281">
        <v>-0.24842841600000001</v>
      </c>
      <c r="D1281">
        <v>-0.57618206800000005</v>
      </c>
      <c r="E1281">
        <v>8</v>
      </c>
      <c r="F1281">
        <v>37</v>
      </c>
      <c r="G1281">
        <v>10</v>
      </c>
      <c r="H1281">
        <v>1</v>
      </c>
      <c r="I1281">
        <v>3</v>
      </c>
      <c r="J1281">
        <v>35.385814670000002</v>
      </c>
      <c r="K1281">
        <v>15.41885948</v>
      </c>
      <c r="L1281">
        <v>15.41885948</v>
      </c>
      <c r="M1281">
        <v>2.7355914119999998</v>
      </c>
      <c r="N1281">
        <v>1</v>
      </c>
      <c r="O1281">
        <v>2.7355914119999998</v>
      </c>
    </row>
    <row r="1282" spans="1:15">
      <c r="A1282">
        <v>-0.99020364699999996</v>
      </c>
      <c r="B1282">
        <v>0.787453505</v>
      </c>
      <c r="C1282">
        <v>-0.49510182400000002</v>
      </c>
      <c r="D1282">
        <v>-0.13703400800000001</v>
      </c>
      <c r="E1282">
        <v>9</v>
      </c>
      <c r="F1282">
        <v>54</v>
      </c>
      <c r="G1282">
        <v>12</v>
      </c>
      <c r="H1282">
        <v>1</v>
      </c>
      <c r="I1282">
        <v>2</v>
      </c>
      <c r="J1282">
        <v>43.955593110000002</v>
      </c>
      <c r="K1282">
        <v>17.858778000000001</v>
      </c>
      <c r="L1282">
        <v>17.858778000000001</v>
      </c>
      <c r="M1282">
        <v>2.8824951649999999</v>
      </c>
      <c r="N1282">
        <v>1</v>
      </c>
      <c r="O1282">
        <v>2.8824951649999999</v>
      </c>
    </row>
    <row r="1283" spans="1:15">
      <c r="A1283">
        <v>-0.69031738200000003</v>
      </c>
      <c r="B1283">
        <v>1.2156516310000001</v>
      </c>
      <c r="C1283">
        <v>-0.34515869100000002</v>
      </c>
      <c r="D1283">
        <v>0.37819727199999997</v>
      </c>
      <c r="E1283">
        <v>0</v>
      </c>
      <c r="F1283">
        <v>31</v>
      </c>
      <c r="G1283">
        <v>10</v>
      </c>
      <c r="H1283">
        <v>1</v>
      </c>
      <c r="I1283">
        <v>0</v>
      </c>
      <c r="J1283">
        <v>29.438367840000002</v>
      </c>
      <c r="K1283">
        <v>13.05809593</v>
      </c>
      <c r="L1283">
        <v>13.05809593</v>
      </c>
      <c r="M1283">
        <v>2.569408417</v>
      </c>
      <c r="N1283">
        <v>1</v>
      </c>
      <c r="O1283">
        <v>2.569408417</v>
      </c>
    </row>
    <row r="1284" spans="1:15">
      <c r="A1284">
        <v>0.66462982100000001</v>
      </c>
      <c r="B1284">
        <v>1.964935213</v>
      </c>
      <c r="C1284">
        <v>0.33231491000000002</v>
      </c>
      <c r="D1284">
        <v>1.8637936159999999</v>
      </c>
      <c r="E1284">
        <v>1</v>
      </c>
      <c r="F1284">
        <v>26</v>
      </c>
      <c r="G1284">
        <v>10</v>
      </c>
      <c r="H1284">
        <v>0</v>
      </c>
      <c r="I1284">
        <v>3</v>
      </c>
      <c r="J1284">
        <v>55.265521999999997</v>
      </c>
      <c r="K1284">
        <v>20.187778470000001</v>
      </c>
      <c r="L1284">
        <v>20.187778470000001</v>
      </c>
      <c r="M1284">
        <v>3.0050773620000002</v>
      </c>
      <c r="N1284">
        <v>1</v>
      </c>
      <c r="O1284">
        <v>3.0050773620000002</v>
      </c>
    </row>
    <row r="1285" spans="1:15">
      <c r="A1285">
        <v>-1.1132808780000001</v>
      </c>
      <c r="B1285">
        <v>1.302950362</v>
      </c>
      <c r="C1285">
        <v>-0.55664043900000004</v>
      </c>
      <c r="D1285">
        <v>0.14268609500000001</v>
      </c>
      <c r="E1285">
        <v>2</v>
      </c>
      <c r="F1285">
        <v>34</v>
      </c>
      <c r="G1285">
        <v>16</v>
      </c>
      <c r="H1285">
        <v>1</v>
      </c>
      <c r="I1285">
        <v>0</v>
      </c>
      <c r="J1285">
        <v>32.312232969999997</v>
      </c>
      <c r="K1285">
        <v>17.120315550000001</v>
      </c>
      <c r="L1285">
        <v>17.120315550000001</v>
      </c>
      <c r="M1285">
        <v>2.840265751</v>
      </c>
      <c r="N1285">
        <v>1</v>
      </c>
      <c r="O1285">
        <v>2.840265751</v>
      </c>
    </row>
    <row r="1286" spans="1:15">
      <c r="A1286">
        <v>1.603936587</v>
      </c>
      <c r="B1286">
        <v>-0.22440149200000001</v>
      </c>
      <c r="C1286">
        <v>0.80196829300000005</v>
      </c>
      <c r="D1286">
        <v>0.96887280600000003</v>
      </c>
      <c r="E1286">
        <v>3</v>
      </c>
      <c r="F1286">
        <v>29</v>
      </c>
      <c r="G1286">
        <v>16</v>
      </c>
      <c r="H1286">
        <v>1</v>
      </c>
      <c r="I1286">
        <v>0</v>
      </c>
      <c r="J1286">
        <v>40.226474760000002</v>
      </c>
      <c r="K1286">
        <v>32.423618320000003</v>
      </c>
      <c r="L1286">
        <v>32.423618320000003</v>
      </c>
      <c r="M1286">
        <v>3.4788870809999999</v>
      </c>
      <c r="N1286">
        <v>1</v>
      </c>
      <c r="O1286">
        <v>3.4788870809999999</v>
      </c>
    </row>
    <row r="1287" spans="1:15">
      <c r="A1287">
        <v>0.57964283999999999</v>
      </c>
      <c r="B1287">
        <v>-0.27976334400000002</v>
      </c>
      <c r="C1287">
        <v>0.28982142</v>
      </c>
      <c r="D1287">
        <v>0.208969549</v>
      </c>
      <c r="E1287">
        <v>4</v>
      </c>
      <c r="F1287">
        <v>29</v>
      </c>
      <c r="G1287">
        <v>10</v>
      </c>
      <c r="H1287">
        <v>1</v>
      </c>
      <c r="I1287">
        <v>0</v>
      </c>
      <c r="J1287">
        <v>26.607635500000001</v>
      </c>
      <c r="K1287">
        <v>20.277856830000001</v>
      </c>
      <c r="N1287">
        <v>0</v>
      </c>
      <c r="O1287">
        <v>0</v>
      </c>
    </row>
    <row r="1288" spans="1:15">
      <c r="A1288">
        <v>1.6476493729999999</v>
      </c>
      <c r="B1288">
        <v>-0.22939726799999999</v>
      </c>
      <c r="C1288">
        <v>0.823824687</v>
      </c>
      <c r="D1288">
        <v>0.99607372500000002</v>
      </c>
      <c r="E1288">
        <v>5</v>
      </c>
      <c r="F1288">
        <v>33</v>
      </c>
      <c r="G1288">
        <v>12</v>
      </c>
      <c r="H1288">
        <v>1</v>
      </c>
      <c r="I1288">
        <v>0</v>
      </c>
      <c r="J1288">
        <v>39.152885439999999</v>
      </c>
      <c r="K1288">
        <v>29.485897059999999</v>
      </c>
      <c r="L1288">
        <v>29.485897059999999</v>
      </c>
      <c r="M1288">
        <v>3.383912086</v>
      </c>
      <c r="N1288">
        <v>1</v>
      </c>
      <c r="O1288">
        <v>3.383912086</v>
      </c>
    </row>
    <row r="1289" spans="1:15">
      <c r="A1289">
        <v>2.920881622</v>
      </c>
      <c r="B1289">
        <v>0.246262174</v>
      </c>
      <c r="C1289">
        <v>1.460440811</v>
      </c>
      <c r="D1289">
        <v>2.2297538619999999</v>
      </c>
      <c r="E1289">
        <v>6</v>
      </c>
      <c r="F1289">
        <v>35</v>
      </c>
      <c r="G1289">
        <v>16</v>
      </c>
      <c r="H1289">
        <v>1</v>
      </c>
      <c r="I1289">
        <v>0</v>
      </c>
      <c r="J1289">
        <v>57.757045750000003</v>
      </c>
      <c r="K1289">
        <v>41.525291439999997</v>
      </c>
      <c r="L1289">
        <v>41.525291439999997</v>
      </c>
      <c r="M1289">
        <v>3.7263026240000001</v>
      </c>
      <c r="N1289">
        <v>1</v>
      </c>
      <c r="O1289">
        <v>3.7263026240000001</v>
      </c>
    </row>
    <row r="1290" spans="1:15">
      <c r="A1290">
        <v>0.552979369</v>
      </c>
      <c r="B1290">
        <v>1.121871262</v>
      </c>
      <c r="C1290">
        <v>0.27648968400000001</v>
      </c>
      <c r="D1290">
        <v>1.186186014</v>
      </c>
      <c r="E1290">
        <v>7</v>
      </c>
      <c r="F1290">
        <v>50</v>
      </c>
      <c r="G1290">
        <v>16</v>
      </c>
      <c r="H1290">
        <v>1</v>
      </c>
      <c r="I1290">
        <v>1</v>
      </c>
      <c r="J1290">
        <v>56.234233860000003</v>
      </c>
      <c r="K1290">
        <v>30.317876819999999</v>
      </c>
      <c r="L1290">
        <v>30.317876819999999</v>
      </c>
      <c r="M1290">
        <v>3.4117374420000002</v>
      </c>
      <c r="N1290">
        <v>1</v>
      </c>
      <c r="O1290">
        <v>3.4117374420000002</v>
      </c>
    </row>
    <row r="1291" spans="1:15">
      <c r="A1291">
        <v>-0.92077846600000002</v>
      </c>
      <c r="B1291">
        <v>0.60368279300000005</v>
      </c>
      <c r="C1291">
        <v>-0.46038923300000001</v>
      </c>
      <c r="D1291">
        <v>-0.21877897800000001</v>
      </c>
      <c r="E1291">
        <v>8</v>
      </c>
      <c r="F1291">
        <v>58</v>
      </c>
      <c r="G1291">
        <v>12</v>
      </c>
      <c r="H1291">
        <v>1</v>
      </c>
      <c r="I1291">
        <v>1</v>
      </c>
      <c r="J1291">
        <v>39.57465363</v>
      </c>
      <c r="K1291">
        <v>19.07532883</v>
      </c>
      <c r="L1291">
        <v>19.07532883</v>
      </c>
      <c r="M1291">
        <v>2.948395729</v>
      </c>
      <c r="N1291">
        <v>1</v>
      </c>
      <c r="O1291">
        <v>2.948395729</v>
      </c>
    </row>
    <row r="1292" spans="1:15">
      <c r="A1292">
        <v>-0.61181782500000004</v>
      </c>
      <c r="B1292">
        <v>1.0500652989999999</v>
      </c>
      <c r="C1292">
        <v>-0.30590891199999998</v>
      </c>
      <c r="D1292">
        <v>0.31575734900000002</v>
      </c>
      <c r="E1292">
        <v>9</v>
      </c>
      <c r="F1292">
        <v>40</v>
      </c>
      <c r="G1292">
        <v>12</v>
      </c>
      <c r="H1292">
        <v>1</v>
      </c>
      <c r="I1292">
        <v>2</v>
      </c>
      <c r="J1292">
        <v>43.789089199999999</v>
      </c>
      <c r="K1292">
        <v>17.329093929999999</v>
      </c>
      <c r="L1292">
        <v>17.329093929999999</v>
      </c>
      <c r="M1292">
        <v>2.852386713</v>
      </c>
      <c r="N1292">
        <v>1</v>
      </c>
      <c r="O1292">
        <v>2.852386713</v>
      </c>
    </row>
    <row r="1293" spans="1:15">
      <c r="A1293">
        <v>-0.35558465900000003</v>
      </c>
      <c r="B1293">
        <v>-0.81040857300000002</v>
      </c>
      <c r="C1293">
        <v>-0.177792329</v>
      </c>
      <c r="D1293">
        <v>-0.82600476599999995</v>
      </c>
      <c r="E1293">
        <v>0</v>
      </c>
      <c r="F1293">
        <v>20</v>
      </c>
      <c r="G1293">
        <v>10</v>
      </c>
      <c r="H1293">
        <v>0</v>
      </c>
      <c r="I1293">
        <v>2</v>
      </c>
      <c r="J1293">
        <v>15.587943080000001</v>
      </c>
      <c r="K1293">
        <v>12.86649227</v>
      </c>
      <c r="N1293">
        <v>0</v>
      </c>
      <c r="O1293">
        <v>0</v>
      </c>
    </row>
    <row r="1294" spans="1:15">
      <c r="A1294">
        <v>-0.141551754</v>
      </c>
      <c r="B1294">
        <v>0.17252167800000001</v>
      </c>
      <c r="C1294">
        <v>-7.0775877000000001E-2</v>
      </c>
      <c r="D1294">
        <v>2.3012446999999998E-2</v>
      </c>
      <c r="E1294">
        <v>1</v>
      </c>
      <c r="F1294">
        <v>22</v>
      </c>
      <c r="G1294">
        <v>16</v>
      </c>
      <c r="H1294">
        <v>0</v>
      </c>
      <c r="I1294">
        <v>2</v>
      </c>
      <c r="J1294">
        <v>31.07614899</v>
      </c>
      <c r="K1294">
        <v>20.5506897</v>
      </c>
      <c r="L1294">
        <v>20.5506897</v>
      </c>
      <c r="M1294">
        <v>3.0228946209999998</v>
      </c>
      <c r="N1294">
        <v>1</v>
      </c>
      <c r="O1294">
        <v>3.0228946209999998</v>
      </c>
    </row>
    <row r="1295" spans="1:15">
      <c r="A1295">
        <v>0.59129659800000001</v>
      </c>
      <c r="B1295">
        <v>1.7882527749999999</v>
      </c>
      <c r="C1295">
        <v>0.295648299</v>
      </c>
      <c r="D1295">
        <v>1.686658577</v>
      </c>
      <c r="E1295">
        <v>2</v>
      </c>
      <c r="F1295">
        <v>24</v>
      </c>
      <c r="G1295">
        <v>16</v>
      </c>
      <c r="H1295">
        <v>0</v>
      </c>
      <c r="I1295">
        <v>4</v>
      </c>
      <c r="J1295">
        <v>61.839904789999999</v>
      </c>
      <c r="K1295">
        <v>25.347780230000001</v>
      </c>
      <c r="L1295">
        <v>25.347780230000001</v>
      </c>
      <c r="M1295">
        <v>3.2326910500000001</v>
      </c>
      <c r="N1295">
        <v>1</v>
      </c>
      <c r="O1295">
        <v>3.2326910500000001</v>
      </c>
    </row>
    <row r="1296" spans="1:15">
      <c r="A1296">
        <v>-0.12444078</v>
      </c>
      <c r="B1296">
        <v>0.52536651300000003</v>
      </c>
      <c r="C1296">
        <v>-6.222039E-2</v>
      </c>
      <c r="D1296">
        <v>0.285774062</v>
      </c>
      <c r="E1296">
        <v>3</v>
      </c>
      <c r="F1296">
        <v>38</v>
      </c>
      <c r="G1296">
        <v>16</v>
      </c>
      <c r="H1296">
        <v>0</v>
      </c>
      <c r="I1296">
        <v>1</v>
      </c>
      <c r="J1296">
        <v>35.629287720000001</v>
      </c>
      <c r="K1296">
        <v>23.853355409999999</v>
      </c>
      <c r="L1296">
        <v>23.853355409999999</v>
      </c>
      <c r="M1296">
        <v>3.1719248289999999</v>
      </c>
      <c r="N1296">
        <v>1</v>
      </c>
      <c r="O1296">
        <v>3.1719248289999999</v>
      </c>
    </row>
    <row r="1297" spans="1:15">
      <c r="A1297">
        <v>-1.0325175419999999</v>
      </c>
      <c r="B1297">
        <v>0.44112862800000002</v>
      </c>
      <c r="C1297">
        <v>-0.51625877099999995</v>
      </c>
      <c r="D1297">
        <v>-0.412892276</v>
      </c>
      <c r="E1297">
        <v>4</v>
      </c>
      <c r="F1297">
        <v>42</v>
      </c>
      <c r="G1297">
        <v>12</v>
      </c>
      <c r="H1297">
        <v>1</v>
      </c>
      <c r="I1297">
        <v>2</v>
      </c>
      <c r="J1297">
        <v>35.84529114</v>
      </c>
      <c r="K1297">
        <v>15.20489502</v>
      </c>
      <c r="L1297">
        <v>15.20489502</v>
      </c>
      <c r="M1297">
        <v>2.72161746</v>
      </c>
      <c r="N1297">
        <v>1</v>
      </c>
      <c r="O1297">
        <v>2.72161746</v>
      </c>
    </row>
    <row r="1298" spans="1:15">
      <c r="A1298">
        <v>1.286579991</v>
      </c>
      <c r="B1298">
        <v>2.3892309999999999E-3</v>
      </c>
      <c r="C1298">
        <v>0.64328999499999995</v>
      </c>
      <c r="D1298">
        <v>0.90677357999999997</v>
      </c>
      <c r="E1298">
        <v>5</v>
      </c>
      <c r="F1298">
        <v>32</v>
      </c>
      <c r="G1298">
        <v>12</v>
      </c>
      <c r="H1298">
        <v>1</v>
      </c>
      <c r="I1298">
        <v>1</v>
      </c>
      <c r="J1298">
        <v>42.681282039999999</v>
      </c>
      <c r="K1298">
        <v>27.119480129999999</v>
      </c>
      <c r="L1298">
        <v>27.119480129999999</v>
      </c>
      <c r="M1298">
        <v>3.300252199</v>
      </c>
      <c r="N1298">
        <v>1</v>
      </c>
      <c r="O1298">
        <v>3.300252199</v>
      </c>
    </row>
    <row r="1299" spans="1:15">
      <c r="A1299">
        <v>0.264837924</v>
      </c>
      <c r="B1299">
        <v>-0.913378684</v>
      </c>
      <c r="C1299">
        <v>0.132418962</v>
      </c>
      <c r="D1299">
        <v>-0.46272198399999998</v>
      </c>
      <c r="E1299">
        <v>6</v>
      </c>
      <c r="F1299">
        <v>32</v>
      </c>
      <c r="G1299">
        <v>16</v>
      </c>
      <c r="H1299">
        <v>1</v>
      </c>
      <c r="I1299">
        <v>1</v>
      </c>
      <c r="J1299">
        <v>29.24733543</v>
      </c>
      <c r="K1299">
        <v>24.989027020000002</v>
      </c>
      <c r="L1299">
        <v>24.989027020000002</v>
      </c>
      <c r="M1299">
        <v>3.218436718</v>
      </c>
      <c r="N1299">
        <v>1</v>
      </c>
      <c r="O1299">
        <v>3.218436718</v>
      </c>
    </row>
    <row r="1300" spans="1:15">
      <c r="A1300">
        <v>-1.440242961</v>
      </c>
      <c r="B1300">
        <v>-1.6289800219999999</v>
      </c>
      <c r="C1300">
        <v>-0.72012147999999998</v>
      </c>
      <c r="D1300">
        <v>-2.1706944130000001</v>
      </c>
      <c r="E1300">
        <v>7</v>
      </c>
      <c r="F1300">
        <v>56</v>
      </c>
      <c r="G1300">
        <v>16</v>
      </c>
      <c r="H1300">
        <v>1</v>
      </c>
      <c r="I1300">
        <v>1</v>
      </c>
      <c r="J1300">
        <v>18.3516674</v>
      </c>
      <c r="K1300">
        <v>19.558542249999999</v>
      </c>
      <c r="N1300">
        <v>0</v>
      </c>
      <c r="O1300">
        <v>0</v>
      </c>
    </row>
    <row r="1301" spans="1:15">
      <c r="A1301">
        <v>2.0515579540000002</v>
      </c>
      <c r="B1301">
        <v>0.78853582</v>
      </c>
      <c r="C1301">
        <v>1.0257789770000001</v>
      </c>
      <c r="D1301">
        <v>2.0035358959999998</v>
      </c>
      <c r="E1301">
        <v>8</v>
      </c>
      <c r="F1301">
        <v>52</v>
      </c>
      <c r="G1301">
        <v>12</v>
      </c>
      <c r="H1301">
        <v>1</v>
      </c>
      <c r="I1301">
        <v>2</v>
      </c>
      <c r="J1301">
        <v>68.842430109999995</v>
      </c>
      <c r="K1301">
        <v>35.709346770000003</v>
      </c>
      <c r="L1301">
        <v>35.709346770000003</v>
      </c>
      <c r="M1301">
        <v>3.5754125120000002</v>
      </c>
      <c r="N1301">
        <v>1</v>
      </c>
      <c r="O1301">
        <v>3.5754125120000002</v>
      </c>
    </row>
    <row r="1302" spans="1:15">
      <c r="A1302">
        <v>1.169169393</v>
      </c>
      <c r="B1302">
        <v>-1.023945444</v>
      </c>
      <c r="C1302">
        <v>0.58458469700000004</v>
      </c>
      <c r="D1302">
        <v>9.4885352000000006E-2</v>
      </c>
      <c r="E1302">
        <v>9</v>
      </c>
      <c r="F1302">
        <v>38</v>
      </c>
      <c r="G1302">
        <v>12</v>
      </c>
      <c r="H1302">
        <v>1</v>
      </c>
      <c r="I1302">
        <v>3</v>
      </c>
      <c r="J1302">
        <v>45.338623050000002</v>
      </c>
      <c r="K1302">
        <v>27.61501694</v>
      </c>
      <c r="L1302">
        <v>27.61501694</v>
      </c>
      <c r="M1302">
        <v>3.3183596130000002</v>
      </c>
      <c r="N1302">
        <v>1</v>
      </c>
      <c r="O1302">
        <v>3.3183596130000002</v>
      </c>
    </row>
    <row r="1303" spans="1:15">
      <c r="A1303">
        <v>-0.27363226899999998</v>
      </c>
      <c r="B1303">
        <v>-0.63786707899999995</v>
      </c>
      <c r="C1303">
        <v>-0.13681613400000001</v>
      </c>
      <c r="D1303">
        <v>-0.64574883800000005</v>
      </c>
      <c r="E1303">
        <v>0</v>
      </c>
      <c r="F1303">
        <v>20</v>
      </c>
      <c r="G1303">
        <v>10</v>
      </c>
      <c r="H1303">
        <v>0</v>
      </c>
      <c r="I1303">
        <v>1</v>
      </c>
      <c r="J1303">
        <v>12.751013759999999</v>
      </c>
      <c r="K1303">
        <v>13.358206750000001</v>
      </c>
      <c r="N1303">
        <v>0</v>
      </c>
      <c r="O1303">
        <v>0</v>
      </c>
    </row>
    <row r="1304" spans="1:15">
      <c r="A1304">
        <v>0.58000983500000003</v>
      </c>
      <c r="B1304">
        <v>-1.957761809</v>
      </c>
      <c r="C1304">
        <v>0.29000491699999997</v>
      </c>
      <c r="D1304">
        <v>-0.98312444300000001</v>
      </c>
      <c r="E1304">
        <v>1</v>
      </c>
      <c r="F1304">
        <v>25</v>
      </c>
      <c r="G1304">
        <v>10</v>
      </c>
      <c r="H1304">
        <v>0</v>
      </c>
      <c r="I1304">
        <v>0</v>
      </c>
      <c r="J1304">
        <v>5.7025065420000001</v>
      </c>
      <c r="K1304">
        <v>19.480058669999998</v>
      </c>
      <c r="N1304">
        <v>0</v>
      </c>
      <c r="O1304">
        <v>0</v>
      </c>
    </row>
    <row r="1305" spans="1:15">
      <c r="A1305">
        <v>-1.3183504559999999</v>
      </c>
      <c r="B1305">
        <v>-0.95686653700000002</v>
      </c>
      <c r="C1305">
        <v>-0.65917522799999995</v>
      </c>
      <c r="D1305">
        <v>-1.607355774</v>
      </c>
      <c r="E1305">
        <v>2</v>
      </c>
      <c r="F1305">
        <v>25</v>
      </c>
      <c r="G1305">
        <v>16</v>
      </c>
      <c r="H1305">
        <v>0</v>
      </c>
      <c r="I1305">
        <v>3</v>
      </c>
      <c r="J1305">
        <v>17.711730960000001</v>
      </c>
      <c r="K1305">
        <v>14.08989716</v>
      </c>
      <c r="N1305">
        <v>0</v>
      </c>
      <c r="O1305">
        <v>0</v>
      </c>
    </row>
    <row r="1306" spans="1:15">
      <c r="A1306">
        <v>-0.66254730500000003</v>
      </c>
      <c r="B1306">
        <v>-1.504690844</v>
      </c>
      <c r="C1306">
        <v>-0.33127365199999997</v>
      </c>
      <c r="D1306">
        <v>-1.535288172</v>
      </c>
      <c r="E1306">
        <v>3</v>
      </c>
      <c r="F1306">
        <v>26</v>
      </c>
      <c r="G1306">
        <v>16</v>
      </c>
      <c r="H1306">
        <v>0</v>
      </c>
      <c r="I1306">
        <v>2</v>
      </c>
      <c r="J1306">
        <v>13.97654152</v>
      </c>
      <c r="K1306">
        <v>18.224716189999999</v>
      </c>
      <c r="N1306">
        <v>0</v>
      </c>
      <c r="O1306">
        <v>0</v>
      </c>
    </row>
    <row r="1307" spans="1:15">
      <c r="A1307">
        <v>-1.609031385</v>
      </c>
      <c r="B1307">
        <v>-2.8025689229999999</v>
      </c>
      <c r="C1307">
        <v>-0.80451569199999995</v>
      </c>
      <c r="D1307">
        <v>-3.1233615260000001</v>
      </c>
      <c r="E1307">
        <v>4</v>
      </c>
      <c r="F1307">
        <v>34</v>
      </c>
      <c r="G1307">
        <v>10</v>
      </c>
      <c r="H1307">
        <v>1</v>
      </c>
      <c r="I1307">
        <v>1</v>
      </c>
      <c r="J1307">
        <v>-6.380338192</v>
      </c>
      <c r="K1307">
        <v>8.1458120350000005</v>
      </c>
      <c r="N1307">
        <v>0</v>
      </c>
      <c r="O1307">
        <v>0</v>
      </c>
    </row>
    <row r="1308" spans="1:15">
      <c r="A1308">
        <v>-0.41054959200000002</v>
      </c>
      <c r="B1308">
        <v>0.24819116799999999</v>
      </c>
      <c r="C1308">
        <v>-0.20527479600000001</v>
      </c>
      <c r="D1308">
        <v>-0.112451367</v>
      </c>
      <c r="E1308">
        <v>5</v>
      </c>
      <c r="F1308">
        <v>45</v>
      </c>
      <c r="G1308">
        <v>10</v>
      </c>
      <c r="H1308">
        <v>1</v>
      </c>
      <c r="I1308">
        <v>1</v>
      </c>
      <c r="J1308">
        <v>34.150585169999999</v>
      </c>
      <c r="K1308">
        <v>17.536703110000001</v>
      </c>
      <c r="L1308">
        <v>17.536703110000001</v>
      </c>
      <c r="M1308">
        <v>2.8642959590000001</v>
      </c>
      <c r="N1308">
        <v>1</v>
      </c>
      <c r="O1308">
        <v>2.8642959590000001</v>
      </c>
    </row>
    <row r="1309" spans="1:15">
      <c r="A1309">
        <v>0.50339654300000003</v>
      </c>
      <c r="B1309">
        <v>-0.94633694300000004</v>
      </c>
      <c r="C1309">
        <v>0.25169827099999997</v>
      </c>
      <c r="D1309">
        <v>-0.31832162800000002</v>
      </c>
      <c r="E1309">
        <v>6</v>
      </c>
      <c r="F1309">
        <v>38</v>
      </c>
      <c r="G1309">
        <v>20</v>
      </c>
      <c r="H1309">
        <v>1</v>
      </c>
      <c r="I1309">
        <v>2</v>
      </c>
      <c r="J1309">
        <v>41.380142210000002</v>
      </c>
      <c r="K1309">
        <v>31.62037849</v>
      </c>
      <c r="L1309">
        <v>31.62037849</v>
      </c>
      <c r="M1309">
        <v>3.4538018699999999</v>
      </c>
      <c r="N1309">
        <v>1</v>
      </c>
      <c r="O1309">
        <v>3.4538018699999999</v>
      </c>
    </row>
    <row r="1310" spans="1:15">
      <c r="A1310">
        <v>0.43379162900000001</v>
      </c>
      <c r="B1310">
        <v>1.882939439</v>
      </c>
      <c r="C1310">
        <v>0.21689581399999999</v>
      </c>
      <c r="D1310">
        <v>1.6431403440000001</v>
      </c>
      <c r="E1310">
        <v>7</v>
      </c>
      <c r="F1310">
        <v>45</v>
      </c>
      <c r="G1310">
        <v>16</v>
      </c>
      <c r="H1310">
        <v>1</v>
      </c>
      <c r="I1310">
        <v>2</v>
      </c>
      <c r="J1310">
        <v>64.717681880000001</v>
      </c>
      <c r="K1310">
        <v>28.602748869999999</v>
      </c>
      <c r="L1310">
        <v>28.602748869999999</v>
      </c>
      <c r="M1310">
        <v>3.3535027500000001</v>
      </c>
      <c r="N1310">
        <v>1</v>
      </c>
      <c r="O1310">
        <v>3.3535027500000001</v>
      </c>
    </row>
    <row r="1311" spans="1:15">
      <c r="A1311">
        <v>0.90882502799999998</v>
      </c>
      <c r="B1311">
        <v>0.89466833199999996</v>
      </c>
      <c r="C1311">
        <v>0.45441251399999999</v>
      </c>
      <c r="D1311">
        <v>1.2750683970000001</v>
      </c>
      <c r="E1311">
        <v>8</v>
      </c>
      <c r="F1311">
        <v>39</v>
      </c>
      <c r="G1311">
        <v>16</v>
      </c>
      <c r="H1311">
        <v>1</v>
      </c>
      <c r="I1311">
        <v>5</v>
      </c>
      <c r="J1311">
        <v>72.900817869999997</v>
      </c>
      <c r="K1311">
        <v>30.252950670000001</v>
      </c>
      <c r="L1311">
        <v>30.252950670000001</v>
      </c>
      <c r="M1311">
        <v>3.4095938210000001</v>
      </c>
      <c r="N1311">
        <v>1</v>
      </c>
      <c r="O1311">
        <v>3.4095938210000001</v>
      </c>
    </row>
    <row r="1312" spans="1:15">
      <c r="A1312">
        <v>0.86141470399999998</v>
      </c>
      <c r="B1312">
        <v>-2.1439980620000001</v>
      </c>
      <c r="C1312">
        <v>0.43070735199999999</v>
      </c>
      <c r="D1312">
        <v>-0.91749913400000005</v>
      </c>
      <c r="E1312">
        <v>9</v>
      </c>
      <c r="F1312">
        <v>41</v>
      </c>
      <c r="G1312">
        <v>16</v>
      </c>
      <c r="H1312">
        <v>1</v>
      </c>
      <c r="I1312">
        <v>4</v>
      </c>
      <c r="J1312">
        <v>42.390010830000001</v>
      </c>
      <c r="K1312">
        <v>30.36848831</v>
      </c>
      <c r="L1312">
        <v>30.36848831</v>
      </c>
      <c r="M1312">
        <v>3.413405418</v>
      </c>
      <c r="N1312">
        <v>1</v>
      </c>
      <c r="O1312">
        <v>3.413405418</v>
      </c>
    </row>
    <row r="1313" spans="1:15">
      <c r="A1313">
        <v>-0.65104536000000002</v>
      </c>
      <c r="B1313">
        <v>1.6259349080000001</v>
      </c>
      <c r="C1313">
        <v>-0.32552268000000001</v>
      </c>
      <c r="D1313">
        <v>0.69736322100000003</v>
      </c>
      <c r="E1313">
        <v>0</v>
      </c>
      <c r="F1313">
        <v>20</v>
      </c>
      <c r="G1313">
        <v>10</v>
      </c>
      <c r="H1313">
        <v>0</v>
      </c>
      <c r="I1313">
        <v>1</v>
      </c>
      <c r="J1313">
        <v>28.868358610000001</v>
      </c>
      <c r="K1313">
        <v>11.093728069999999</v>
      </c>
      <c r="N1313">
        <v>0</v>
      </c>
      <c r="O1313">
        <v>0</v>
      </c>
    </row>
    <row r="1314" spans="1:15">
      <c r="A1314">
        <v>0.223110431</v>
      </c>
      <c r="B1314">
        <v>1.121648</v>
      </c>
      <c r="C1314">
        <v>0.111555216</v>
      </c>
      <c r="D1314">
        <v>0.95397307899999995</v>
      </c>
      <c r="E1314">
        <v>1</v>
      </c>
      <c r="F1314">
        <v>23</v>
      </c>
      <c r="G1314">
        <v>12</v>
      </c>
      <c r="H1314">
        <v>0</v>
      </c>
      <c r="I1314">
        <v>3</v>
      </c>
      <c r="J1314">
        <v>44.647678380000002</v>
      </c>
      <c r="K1314">
        <v>18.938663479999999</v>
      </c>
      <c r="L1314">
        <v>18.938663479999999</v>
      </c>
      <c r="M1314">
        <v>2.9412055019999999</v>
      </c>
      <c r="N1314">
        <v>1</v>
      </c>
      <c r="O1314">
        <v>2.9412055019999999</v>
      </c>
    </row>
    <row r="1315" spans="1:15">
      <c r="A1315">
        <v>1.3837738429999999</v>
      </c>
      <c r="B1315">
        <v>0.12124221</v>
      </c>
      <c r="C1315">
        <v>0.69188692100000004</v>
      </c>
      <c r="D1315">
        <v>1.059601499</v>
      </c>
      <c r="E1315">
        <v>2</v>
      </c>
      <c r="F1315">
        <v>25</v>
      </c>
      <c r="G1315">
        <v>12</v>
      </c>
      <c r="H1315">
        <v>0</v>
      </c>
      <c r="I1315">
        <v>3</v>
      </c>
      <c r="J1315">
        <v>46.715217590000002</v>
      </c>
      <c r="K1315">
        <v>26.302642819999999</v>
      </c>
      <c r="L1315">
        <v>26.302642819999999</v>
      </c>
      <c r="M1315">
        <v>3.2696695330000001</v>
      </c>
      <c r="N1315">
        <v>1</v>
      </c>
      <c r="O1315">
        <v>3.2696695330000001</v>
      </c>
    </row>
    <row r="1316" spans="1:15">
      <c r="A1316">
        <v>0.34298688500000002</v>
      </c>
      <c r="B1316">
        <v>-1.0985913999999999E-2</v>
      </c>
      <c r="C1316">
        <v>0.171493443</v>
      </c>
      <c r="D1316">
        <v>0.23347605599999999</v>
      </c>
      <c r="E1316">
        <v>3</v>
      </c>
      <c r="F1316">
        <v>38</v>
      </c>
      <c r="G1316">
        <v>16</v>
      </c>
      <c r="H1316">
        <v>0</v>
      </c>
      <c r="I1316">
        <v>4</v>
      </c>
      <c r="J1316">
        <v>50.0017128</v>
      </c>
      <c r="K1316">
        <v>26.657920839999999</v>
      </c>
      <c r="L1316">
        <v>26.657920839999999</v>
      </c>
      <c r="M1316">
        <v>3.2830862999999999</v>
      </c>
      <c r="N1316">
        <v>1</v>
      </c>
      <c r="O1316">
        <v>3.2830862999999999</v>
      </c>
    </row>
    <row r="1317" spans="1:15">
      <c r="A1317">
        <v>1.1989850909999999</v>
      </c>
      <c r="B1317">
        <v>-0.29811543200000001</v>
      </c>
      <c r="C1317">
        <v>0.59949254600000002</v>
      </c>
      <c r="D1317">
        <v>0.63162022100000004</v>
      </c>
      <c r="E1317">
        <v>4</v>
      </c>
      <c r="F1317">
        <v>28</v>
      </c>
      <c r="G1317">
        <v>10</v>
      </c>
      <c r="H1317">
        <v>1</v>
      </c>
      <c r="I1317">
        <v>1</v>
      </c>
      <c r="J1317">
        <v>36.279441830000003</v>
      </c>
      <c r="K1317">
        <v>23.79391098</v>
      </c>
      <c r="L1317">
        <v>23.79391098</v>
      </c>
      <c r="M1317">
        <v>3.1694297790000001</v>
      </c>
      <c r="N1317">
        <v>1</v>
      </c>
      <c r="O1317">
        <v>3.1694297790000001</v>
      </c>
    </row>
    <row r="1318" spans="1:15">
      <c r="A1318">
        <v>0.55028208999999995</v>
      </c>
      <c r="B1318">
        <v>1.9227773610000001</v>
      </c>
      <c r="C1318">
        <v>0.27514104499999997</v>
      </c>
      <c r="D1318">
        <v>1.7533964099999999</v>
      </c>
      <c r="E1318">
        <v>5</v>
      </c>
      <c r="F1318">
        <v>33</v>
      </c>
      <c r="G1318">
        <v>16</v>
      </c>
      <c r="H1318">
        <v>1</v>
      </c>
      <c r="I1318">
        <v>2</v>
      </c>
      <c r="J1318">
        <v>61.240756990000001</v>
      </c>
      <c r="K1318">
        <v>26.901693340000001</v>
      </c>
      <c r="L1318">
        <v>26.901693340000001</v>
      </c>
      <c r="M1318">
        <v>3.2921891209999998</v>
      </c>
      <c r="N1318">
        <v>1</v>
      </c>
      <c r="O1318">
        <v>3.2921891209999998</v>
      </c>
    </row>
    <row r="1319" spans="1:15">
      <c r="A1319">
        <v>-1.025337986</v>
      </c>
      <c r="B1319">
        <v>0.38353911099999999</v>
      </c>
      <c r="C1319">
        <v>-0.51266899300000002</v>
      </c>
      <c r="D1319">
        <v>-0.44876360300000001</v>
      </c>
      <c r="E1319">
        <v>6</v>
      </c>
      <c r="F1319">
        <v>32</v>
      </c>
      <c r="G1319">
        <v>12</v>
      </c>
      <c r="H1319">
        <v>1</v>
      </c>
      <c r="I1319">
        <v>3</v>
      </c>
      <c r="J1319">
        <v>36.414836880000003</v>
      </c>
      <c r="K1319">
        <v>13.24797249</v>
      </c>
      <c r="L1319">
        <v>13.24797249</v>
      </c>
      <c r="M1319">
        <v>2.5838444229999999</v>
      </c>
      <c r="N1319">
        <v>1</v>
      </c>
      <c r="O1319">
        <v>2.5838444229999999</v>
      </c>
    </row>
    <row r="1320" spans="1:15">
      <c r="A1320">
        <v>0.17740461199999999</v>
      </c>
      <c r="B1320">
        <v>-0.54359019099999994</v>
      </c>
      <c r="C1320">
        <v>8.8702305999999995E-2</v>
      </c>
      <c r="D1320">
        <v>-0.26146475299999999</v>
      </c>
      <c r="E1320">
        <v>7</v>
      </c>
      <c r="F1320">
        <v>34</v>
      </c>
      <c r="G1320">
        <v>12</v>
      </c>
      <c r="H1320">
        <v>1</v>
      </c>
      <c r="I1320">
        <v>1</v>
      </c>
      <c r="J1320">
        <v>29.462423319999999</v>
      </c>
      <c r="K1320">
        <v>20.86442757</v>
      </c>
      <c r="L1320">
        <v>20.86442757</v>
      </c>
      <c r="M1320">
        <v>3.038045645</v>
      </c>
      <c r="N1320">
        <v>1</v>
      </c>
      <c r="O1320">
        <v>3.038045645</v>
      </c>
    </row>
    <row r="1321" spans="1:15">
      <c r="A1321">
        <v>-0.80163162899999996</v>
      </c>
      <c r="B1321">
        <v>1.5134004569999999</v>
      </c>
      <c r="C1321">
        <v>-0.40081581500000002</v>
      </c>
      <c r="D1321">
        <v>0.51146493299999995</v>
      </c>
      <c r="E1321">
        <v>8</v>
      </c>
      <c r="F1321">
        <v>38</v>
      </c>
      <c r="G1321">
        <v>16</v>
      </c>
      <c r="H1321">
        <v>1</v>
      </c>
      <c r="I1321">
        <v>1</v>
      </c>
      <c r="J1321">
        <v>43.33757782</v>
      </c>
      <c r="K1321">
        <v>19.790210720000001</v>
      </c>
      <c r="L1321">
        <v>19.790210720000001</v>
      </c>
      <c r="M1321">
        <v>2.985187292</v>
      </c>
      <c r="N1321">
        <v>1</v>
      </c>
      <c r="O1321">
        <v>2.985187292</v>
      </c>
    </row>
    <row r="1322" spans="1:15">
      <c r="A1322">
        <v>-8.2698648E-2</v>
      </c>
      <c r="B1322">
        <v>0.46697783799999998</v>
      </c>
      <c r="C1322">
        <v>-4.1349324E-2</v>
      </c>
      <c r="D1322">
        <v>0.27364875</v>
      </c>
      <c r="E1322">
        <v>9</v>
      </c>
      <c r="F1322">
        <v>42</v>
      </c>
      <c r="G1322">
        <v>12</v>
      </c>
      <c r="H1322">
        <v>1</v>
      </c>
      <c r="I1322">
        <v>3</v>
      </c>
      <c r="J1322">
        <v>49.083786009999997</v>
      </c>
      <c r="K1322">
        <v>20.903808590000001</v>
      </c>
      <c r="L1322">
        <v>20.903808590000001</v>
      </c>
      <c r="M1322">
        <v>3.0399312969999999</v>
      </c>
      <c r="N1322">
        <v>1</v>
      </c>
      <c r="O1322">
        <v>3.0399312969999999</v>
      </c>
    </row>
    <row r="1323" spans="1:15">
      <c r="A1323">
        <v>1.342219718</v>
      </c>
      <c r="B1323">
        <v>0.47450038</v>
      </c>
      <c r="C1323">
        <v>0.67110985899999998</v>
      </c>
      <c r="D1323">
        <v>1.281387437</v>
      </c>
      <c r="E1323">
        <v>0</v>
      </c>
      <c r="F1323">
        <v>29</v>
      </c>
      <c r="G1323">
        <v>10</v>
      </c>
      <c r="H1323">
        <v>0</v>
      </c>
      <c r="I1323">
        <v>0</v>
      </c>
      <c r="J1323">
        <v>34.476650239999998</v>
      </c>
      <c r="K1323">
        <v>24.853319169999999</v>
      </c>
      <c r="L1323">
        <v>24.853319169999999</v>
      </c>
      <c r="M1323">
        <v>3.2129912379999999</v>
      </c>
      <c r="N1323">
        <v>1</v>
      </c>
      <c r="O1323">
        <v>3.2129912379999999</v>
      </c>
    </row>
    <row r="1324" spans="1:15">
      <c r="A1324">
        <v>-1.0984523209999999</v>
      </c>
      <c r="B1324">
        <v>0.39006712300000002</v>
      </c>
      <c r="C1324">
        <v>-0.54922616099999999</v>
      </c>
      <c r="D1324">
        <v>-0.49555897700000001</v>
      </c>
      <c r="E1324">
        <v>1</v>
      </c>
      <c r="F1324">
        <v>29</v>
      </c>
      <c r="G1324">
        <v>12</v>
      </c>
      <c r="H1324">
        <v>0</v>
      </c>
      <c r="I1324">
        <v>0</v>
      </c>
      <c r="J1324">
        <v>14.65329266</v>
      </c>
      <c r="K1324">
        <v>12.20928574</v>
      </c>
      <c r="N1324">
        <v>0</v>
      </c>
      <c r="O1324">
        <v>0</v>
      </c>
    </row>
    <row r="1325" spans="1:15">
      <c r="A1325">
        <v>-1.1962174059999999</v>
      </c>
      <c r="B1325">
        <v>-1.6604081909999999</v>
      </c>
      <c r="C1325">
        <v>-0.59810870299999996</v>
      </c>
      <c r="D1325">
        <v>-2.0213609579999998</v>
      </c>
      <c r="E1325">
        <v>2</v>
      </c>
      <c r="F1325">
        <v>28</v>
      </c>
      <c r="G1325">
        <v>12</v>
      </c>
      <c r="H1325">
        <v>0</v>
      </c>
      <c r="I1325">
        <v>2</v>
      </c>
      <c r="J1325">
        <v>5.9436683649999997</v>
      </c>
      <c r="K1325">
        <v>11.42269516</v>
      </c>
      <c r="N1325">
        <v>0</v>
      </c>
      <c r="O1325">
        <v>0</v>
      </c>
    </row>
    <row r="1326" spans="1:15">
      <c r="A1326">
        <v>0.99751307600000005</v>
      </c>
      <c r="B1326">
        <v>-0.339786123</v>
      </c>
      <c r="C1326">
        <v>0.49875653800000003</v>
      </c>
      <c r="D1326">
        <v>0.46027949600000001</v>
      </c>
      <c r="E1326">
        <v>3</v>
      </c>
      <c r="F1326">
        <v>30</v>
      </c>
      <c r="G1326">
        <v>12</v>
      </c>
      <c r="H1326">
        <v>0</v>
      </c>
      <c r="I1326">
        <v>2</v>
      </c>
      <c r="J1326">
        <v>36.523353579999998</v>
      </c>
      <c r="K1326">
        <v>24.985078810000001</v>
      </c>
      <c r="L1326">
        <v>24.985078810000001</v>
      </c>
      <c r="M1326">
        <v>3.2182788850000001</v>
      </c>
      <c r="N1326">
        <v>1</v>
      </c>
      <c r="O1326">
        <v>3.2182788850000001</v>
      </c>
    </row>
    <row r="1327" spans="1:15">
      <c r="A1327">
        <v>-0.32995311599999999</v>
      </c>
      <c r="B1327">
        <v>-9.2245951000000007E-2</v>
      </c>
      <c r="C1327">
        <v>-0.164976558</v>
      </c>
      <c r="D1327">
        <v>-0.29766163600000001</v>
      </c>
      <c r="E1327">
        <v>4</v>
      </c>
      <c r="F1327">
        <v>34</v>
      </c>
      <c r="G1327">
        <v>16</v>
      </c>
      <c r="H1327">
        <v>0</v>
      </c>
      <c r="I1327">
        <v>3</v>
      </c>
      <c r="J1327">
        <v>37.028060910000001</v>
      </c>
      <c r="K1327">
        <v>21.820281980000001</v>
      </c>
      <c r="L1327">
        <v>21.820281980000001</v>
      </c>
      <c r="M1327">
        <v>3.0828399659999999</v>
      </c>
      <c r="N1327">
        <v>1</v>
      </c>
      <c r="O1327">
        <v>3.0828399659999999</v>
      </c>
    </row>
    <row r="1328" spans="1:15">
      <c r="A1328">
        <v>0.92801823699999997</v>
      </c>
      <c r="B1328">
        <v>-0.73856273299999997</v>
      </c>
      <c r="C1328">
        <v>0.464009118</v>
      </c>
      <c r="D1328">
        <v>0.12802898099999999</v>
      </c>
      <c r="E1328">
        <v>5</v>
      </c>
      <c r="F1328">
        <v>41</v>
      </c>
      <c r="G1328">
        <v>16</v>
      </c>
      <c r="H1328">
        <v>0</v>
      </c>
      <c r="I1328">
        <v>4</v>
      </c>
      <c r="J1328">
        <v>49.936347959999999</v>
      </c>
      <c r="K1328">
        <v>30.768110279999998</v>
      </c>
      <c r="L1328">
        <v>30.768110279999998</v>
      </c>
      <c r="M1328">
        <v>3.4264788629999998</v>
      </c>
      <c r="N1328">
        <v>1</v>
      </c>
      <c r="O1328">
        <v>3.4264788629999998</v>
      </c>
    </row>
    <row r="1329" spans="1:15">
      <c r="A1329">
        <v>0.476953815</v>
      </c>
      <c r="B1329">
        <v>-0.12097770100000001</v>
      </c>
      <c r="C1329">
        <v>0.23847690799999999</v>
      </c>
      <c r="D1329">
        <v>0.249560371</v>
      </c>
      <c r="E1329">
        <v>6</v>
      </c>
      <c r="F1329">
        <v>58</v>
      </c>
      <c r="G1329">
        <v>16</v>
      </c>
      <c r="H1329">
        <v>1</v>
      </c>
      <c r="I1329">
        <v>0</v>
      </c>
      <c r="J1329">
        <v>43.194725040000002</v>
      </c>
      <c r="K1329">
        <v>31.461723330000002</v>
      </c>
      <c r="L1329">
        <v>31.461723330000002</v>
      </c>
      <c r="M1329">
        <v>3.4487717149999999</v>
      </c>
      <c r="N1329">
        <v>1</v>
      </c>
      <c r="O1329">
        <v>3.4487717149999999</v>
      </c>
    </row>
    <row r="1330" spans="1:15">
      <c r="A1330">
        <v>0.59234629699999997</v>
      </c>
      <c r="B1330">
        <v>-1.493917116</v>
      </c>
      <c r="C1330">
        <v>0.296173148</v>
      </c>
      <c r="D1330">
        <v>-0.64484729399999996</v>
      </c>
      <c r="E1330">
        <v>7</v>
      </c>
      <c r="F1330">
        <v>46</v>
      </c>
      <c r="G1330">
        <v>12</v>
      </c>
      <c r="H1330">
        <v>1</v>
      </c>
      <c r="I1330">
        <v>1</v>
      </c>
      <c r="J1330">
        <v>29.66183281</v>
      </c>
      <c r="K1330">
        <v>25.754077909999999</v>
      </c>
      <c r="L1330">
        <v>25.754077909999999</v>
      </c>
      <c r="M1330">
        <v>3.2485930920000001</v>
      </c>
      <c r="N1330">
        <v>1</v>
      </c>
      <c r="O1330">
        <v>3.2485930920000001</v>
      </c>
    </row>
    <row r="1331" spans="1:15">
      <c r="A1331">
        <v>-0.70219292899999997</v>
      </c>
      <c r="B1331">
        <v>-0.43957364300000001</v>
      </c>
      <c r="C1331">
        <v>-0.351096464</v>
      </c>
      <c r="D1331">
        <v>-0.80632685699999995</v>
      </c>
      <c r="E1331">
        <v>8</v>
      </c>
      <c r="F1331">
        <v>59</v>
      </c>
      <c r="G1331">
        <v>20</v>
      </c>
      <c r="H1331">
        <v>1</v>
      </c>
      <c r="I1331">
        <v>0</v>
      </c>
      <c r="J1331">
        <v>33.924076079999999</v>
      </c>
      <c r="K1331">
        <v>28.586841580000002</v>
      </c>
      <c r="L1331">
        <v>28.586841580000002</v>
      </c>
      <c r="M1331">
        <v>3.3529465200000002</v>
      </c>
      <c r="N1331">
        <v>1</v>
      </c>
      <c r="O1331">
        <v>3.3529465200000002</v>
      </c>
    </row>
    <row r="1332" spans="1:15">
      <c r="A1332">
        <v>-0.46872908899999999</v>
      </c>
      <c r="B1332">
        <v>-0.83271408300000005</v>
      </c>
      <c r="C1332">
        <v>-0.23436454400000001</v>
      </c>
      <c r="D1332">
        <v>-0.92144880399999995</v>
      </c>
      <c r="E1332">
        <v>9</v>
      </c>
      <c r="F1332">
        <v>45</v>
      </c>
      <c r="G1332">
        <v>12</v>
      </c>
      <c r="H1332">
        <v>1</v>
      </c>
      <c r="I1332">
        <v>3</v>
      </c>
      <c r="J1332">
        <v>35.942615510000003</v>
      </c>
      <c r="K1332">
        <v>19.18762589</v>
      </c>
      <c r="L1332">
        <v>19.18762589</v>
      </c>
      <c r="M1332">
        <v>2.9542655940000002</v>
      </c>
      <c r="N1332">
        <v>1</v>
      </c>
      <c r="O1332">
        <v>2.9542655940000002</v>
      </c>
    </row>
    <row r="1333" spans="1:15">
      <c r="A1333">
        <v>-1.3945184859999999</v>
      </c>
      <c r="B1333">
        <v>-0.15816899600000001</v>
      </c>
      <c r="C1333">
        <v>-0.69725924299999997</v>
      </c>
      <c r="D1333">
        <v>-1.0933995139999999</v>
      </c>
      <c r="E1333">
        <v>0</v>
      </c>
      <c r="F1333">
        <v>28</v>
      </c>
      <c r="G1333">
        <v>10</v>
      </c>
      <c r="H1333">
        <v>0</v>
      </c>
      <c r="I1333">
        <v>1</v>
      </c>
      <c r="J1333">
        <v>10.57920551</v>
      </c>
      <c r="K1333">
        <v>8.2328891750000004</v>
      </c>
      <c r="N1333">
        <v>0</v>
      </c>
      <c r="O1333">
        <v>0</v>
      </c>
    </row>
    <row r="1334" spans="1:15">
      <c r="A1334">
        <v>0.60736802700000003</v>
      </c>
      <c r="B1334">
        <v>2.3471764359999998</v>
      </c>
      <c r="C1334">
        <v>0.303684014</v>
      </c>
      <c r="D1334">
        <v>2.0951243929999999</v>
      </c>
      <c r="E1334">
        <v>1</v>
      </c>
      <c r="F1334">
        <v>35</v>
      </c>
      <c r="G1334">
        <v>16</v>
      </c>
      <c r="H1334">
        <v>1</v>
      </c>
      <c r="I1334">
        <v>0</v>
      </c>
      <c r="J1334">
        <v>56.141490939999997</v>
      </c>
      <c r="K1334">
        <v>27.64420891</v>
      </c>
      <c r="L1334">
        <v>27.64420891</v>
      </c>
      <c r="M1334">
        <v>3.319416285</v>
      </c>
      <c r="N1334">
        <v>1</v>
      </c>
      <c r="O1334">
        <v>3.319416285</v>
      </c>
    </row>
    <row r="1335" spans="1:15">
      <c r="A1335">
        <v>-0.52792454899999997</v>
      </c>
      <c r="B1335">
        <v>-0.44401365500000001</v>
      </c>
      <c r="C1335">
        <v>-0.263962274</v>
      </c>
      <c r="D1335">
        <v>-0.68688853000000005</v>
      </c>
      <c r="E1335">
        <v>2</v>
      </c>
      <c r="F1335">
        <v>31</v>
      </c>
      <c r="G1335">
        <v>10</v>
      </c>
      <c r="H1335">
        <v>1</v>
      </c>
      <c r="I1335">
        <v>3</v>
      </c>
      <c r="J1335">
        <v>31.65733719</v>
      </c>
      <c r="K1335">
        <v>14.032452579999999</v>
      </c>
      <c r="L1335">
        <v>14.032452579999999</v>
      </c>
      <c r="M1335">
        <v>2.641372681</v>
      </c>
      <c r="N1335">
        <v>1</v>
      </c>
      <c r="O1335">
        <v>2.641372681</v>
      </c>
    </row>
    <row r="1336" spans="1:15">
      <c r="A1336">
        <v>-0.163902875</v>
      </c>
      <c r="B1336">
        <v>1.1530643490000001</v>
      </c>
      <c r="C1336">
        <v>-8.1951438000000001E-2</v>
      </c>
      <c r="D1336">
        <v>0.70404302900000004</v>
      </c>
      <c r="E1336">
        <v>3</v>
      </c>
      <c r="F1336">
        <v>38</v>
      </c>
      <c r="G1336">
        <v>10</v>
      </c>
      <c r="H1336">
        <v>1</v>
      </c>
      <c r="I1336">
        <v>0</v>
      </c>
      <c r="J1336">
        <v>36.148517609999999</v>
      </c>
      <c r="K1336">
        <v>17.616582869999998</v>
      </c>
      <c r="L1336">
        <v>17.616582869999998</v>
      </c>
      <c r="M1336">
        <v>2.8688406940000002</v>
      </c>
      <c r="N1336">
        <v>1</v>
      </c>
      <c r="O1336">
        <v>2.8688406940000002</v>
      </c>
    </row>
    <row r="1337" spans="1:15">
      <c r="A1337">
        <v>0.11425727400000001</v>
      </c>
      <c r="B1337">
        <v>0.35687195300000002</v>
      </c>
      <c r="C1337">
        <v>5.7128637000000003E-2</v>
      </c>
      <c r="D1337">
        <v>0.33396312099999997</v>
      </c>
      <c r="E1337">
        <v>4</v>
      </c>
      <c r="F1337">
        <v>57</v>
      </c>
      <c r="G1337">
        <v>16</v>
      </c>
      <c r="H1337">
        <v>0</v>
      </c>
      <c r="I1337">
        <v>1</v>
      </c>
      <c r="J1337">
        <v>43.807556150000003</v>
      </c>
      <c r="K1337">
        <v>29.085544590000001</v>
      </c>
      <c r="L1337">
        <v>29.085544590000001</v>
      </c>
      <c r="M1337">
        <v>3.3702414040000002</v>
      </c>
      <c r="N1337">
        <v>1</v>
      </c>
      <c r="O1337">
        <v>3.3702414040000002</v>
      </c>
    </row>
    <row r="1338" spans="1:15">
      <c r="A1338">
        <v>-0.41998785799999999</v>
      </c>
      <c r="B1338">
        <v>-0.200860975</v>
      </c>
      <c r="C1338">
        <v>-0.209993929</v>
      </c>
      <c r="D1338">
        <v>-0.43817841899999999</v>
      </c>
      <c r="E1338">
        <v>5</v>
      </c>
      <c r="F1338">
        <v>30</v>
      </c>
      <c r="G1338">
        <v>16</v>
      </c>
      <c r="H1338">
        <v>1</v>
      </c>
      <c r="I1338">
        <v>0</v>
      </c>
      <c r="J1338">
        <v>23.741859439999999</v>
      </c>
      <c r="K1338">
        <v>20.480072020000001</v>
      </c>
      <c r="N1338">
        <v>0</v>
      </c>
      <c r="O1338">
        <v>0</v>
      </c>
    </row>
    <row r="1339" spans="1:15">
      <c r="A1339">
        <v>1.246266418</v>
      </c>
      <c r="B1339">
        <v>-0.14091200300000001</v>
      </c>
      <c r="C1339">
        <v>0.62313320900000002</v>
      </c>
      <c r="D1339">
        <v>0.77658702899999998</v>
      </c>
      <c r="E1339">
        <v>6</v>
      </c>
      <c r="F1339">
        <v>42</v>
      </c>
      <c r="G1339">
        <v>12</v>
      </c>
      <c r="H1339">
        <v>1</v>
      </c>
      <c r="I1339">
        <v>1</v>
      </c>
      <c r="J1339">
        <v>45.11904526</v>
      </c>
      <c r="K1339">
        <v>28.877597810000001</v>
      </c>
      <c r="L1339">
        <v>28.877597810000001</v>
      </c>
      <c r="M1339">
        <v>3.3630661960000001</v>
      </c>
      <c r="N1339">
        <v>1</v>
      </c>
      <c r="O1339">
        <v>3.3630661960000001</v>
      </c>
    </row>
    <row r="1340" spans="1:15">
      <c r="A1340">
        <v>0.67561719799999997</v>
      </c>
      <c r="B1340">
        <v>1.993127976</v>
      </c>
      <c r="C1340">
        <v>0.33780859899999999</v>
      </c>
      <c r="D1340">
        <v>1.891556166</v>
      </c>
      <c r="E1340">
        <v>7</v>
      </c>
      <c r="F1340">
        <v>50</v>
      </c>
      <c r="G1340">
        <v>16</v>
      </c>
      <c r="H1340">
        <v>1</v>
      </c>
      <c r="I1340">
        <v>0</v>
      </c>
      <c r="J1340">
        <v>59.698673249999999</v>
      </c>
      <c r="K1340">
        <v>31.05370331</v>
      </c>
      <c r="L1340">
        <v>31.05370331</v>
      </c>
      <c r="M1340">
        <v>3.4357180600000001</v>
      </c>
      <c r="N1340">
        <v>1</v>
      </c>
      <c r="O1340">
        <v>3.4357180600000001</v>
      </c>
    </row>
    <row r="1341" spans="1:15">
      <c r="A1341">
        <v>0.64998739100000003</v>
      </c>
      <c r="B1341">
        <v>-2.1910933290000001</v>
      </c>
      <c r="C1341">
        <v>0.324993696</v>
      </c>
      <c r="D1341">
        <v>-1.09969775</v>
      </c>
      <c r="E1341">
        <v>8</v>
      </c>
      <c r="F1341">
        <v>40</v>
      </c>
      <c r="G1341">
        <v>12</v>
      </c>
      <c r="H1341">
        <v>1</v>
      </c>
      <c r="I1341">
        <v>1</v>
      </c>
      <c r="J1341">
        <v>21.80362701</v>
      </c>
      <c r="K1341">
        <v>24.899925230000001</v>
      </c>
      <c r="N1341">
        <v>0</v>
      </c>
      <c r="O1341">
        <v>0</v>
      </c>
    </row>
    <row r="1342" spans="1:15">
      <c r="A1342">
        <v>0.40102066800000002</v>
      </c>
      <c r="B1342">
        <v>-1.6558809560000001</v>
      </c>
      <c r="C1342">
        <v>0.20051033400000001</v>
      </c>
      <c r="D1342">
        <v>-0.89452820700000002</v>
      </c>
      <c r="E1342">
        <v>9</v>
      </c>
      <c r="F1342">
        <v>48</v>
      </c>
      <c r="G1342">
        <v>12</v>
      </c>
      <c r="H1342">
        <v>1</v>
      </c>
      <c r="I1342">
        <v>3</v>
      </c>
      <c r="J1342">
        <v>37.465660100000001</v>
      </c>
      <c r="K1342">
        <v>25.006124499999999</v>
      </c>
      <c r="L1342">
        <v>25.006124499999999</v>
      </c>
      <c r="M1342">
        <v>3.2191207409999998</v>
      </c>
      <c r="N1342">
        <v>1</v>
      </c>
      <c r="O1342">
        <v>3.2191207409999998</v>
      </c>
    </row>
    <row r="1343" spans="1:15">
      <c r="A1343">
        <v>0.19330793900000001</v>
      </c>
      <c r="B1343">
        <v>0.90695367199999999</v>
      </c>
      <c r="C1343">
        <v>9.6653970000000006E-2</v>
      </c>
      <c r="D1343">
        <v>0.78045029700000002</v>
      </c>
      <c r="E1343">
        <v>0</v>
      </c>
      <c r="F1343">
        <v>31</v>
      </c>
      <c r="G1343">
        <v>10</v>
      </c>
      <c r="H1343">
        <v>0</v>
      </c>
      <c r="I1343">
        <v>0</v>
      </c>
      <c r="J1343">
        <v>29.265403750000001</v>
      </c>
      <c r="K1343">
        <v>18.359848020000001</v>
      </c>
      <c r="L1343">
        <v>18.359848020000001</v>
      </c>
      <c r="M1343">
        <v>2.9101660250000001</v>
      </c>
      <c r="N1343">
        <v>1</v>
      </c>
      <c r="O1343">
        <v>2.9101660250000001</v>
      </c>
    </row>
    <row r="1344" spans="1:15">
      <c r="A1344">
        <v>0.56188872700000003</v>
      </c>
      <c r="B1344">
        <v>0.62318441300000005</v>
      </c>
      <c r="C1344">
        <v>0.28094436299999997</v>
      </c>
      <c r="D1344">
        <v>0.83809661300000005</v>
      </c>
      <c r="E1344">
        <v>1</v>
      </c>
      <c r="F1344">
        <v>30</v>
      </c>
      <c r="G1344">
        <v>16</v>
      </c>
      <c r="H1344">
        <v>0</v>
      </c>
      <c r="I1344">
        <v>3</v>
      </c>
      <c r="J1344">
        <v>49.057159419999998</v>
      </c>
      <c r="K1344">
        <v>26.371332169999999</v>
      </c>
      <c r="L1344">
        <v>26.371332169999999</v>
      </c>
      <c r="M1344">
        <v>3.2722775940000002</v>
      </c>
      <c r="N1344">
        <v>1</v>
      </c>
      <c r="O1344">
        <v>3.2722775940000002</v>
      </c>
    </row>
    <row r="1345" spans="1:15">
      <c r="A1345">
        <v>0.18910183999999999</v>
      </c>
      <c r="B1345">
        <v>0.935839372</v>
      </c>
      <c r="C1345">
        <v>9.4550919999999997E-2</v>
      </c>
      <c r="D1345">
        <v>0.79801701599999997</v>
      </c>
      <c r="E1345">
        <v>2</v>
      </c>
      <c r="F1345">
        <v>32</v>
      </c>
      <c r="G1345">
        <v>16</v>
      </c>
      <c r="H1345">
        <v>0</v>
      </c>
      <c r="I1345">
        <v>2</v>
      </c>
      <c r="J1345">
        <v>44.37620544</v>
      </c>
      <c r="K1345">
        <v>24.534610749999999</v>
      </c>
      <c r="L1345">
        <v>24.534610749999999</v>
      </c>
      <c r="M1345">
        <v>3.2000846859999998</v>
      </c>
      <c r="N1345">
        <v>1</v>
      </c>
      <c r="O1345">
        <v>3.2000846859999998</v>
      </c>
    </row>
    <row r="1346" spans="1:15">
      <c r="A1346">
        <v>0.65172470500000002</v>
      </c>
      <c r="B1346">
        <v>-2.7344719999999999E-3</v>
      </c>
      <c r="C1346">
        <v>0.32586235200000002</v>
      </c>
      <c r="D1346">
        <v>0.456528459</v>
      </c>
      <c r="E1346">
        <v>3</v>
      </c>
      <c r="F1346">
        <v>41</v>
      </c>
      <c r="G1346">
        <v>16</v>
      </c>
      <c r="H1346">
        <v>0</v>
      </c>
      <c r="I1346">
        <v>1</v>
      </c>
      <c r="J1346">
        <v>38.878341669999998</v>
      </c>
      <c r="K1346">
        <v>29.110347749999999</v>
      </c>
      <c r="L1346">
        <v>29.110347749999999</v>
      </c>
      <c r="M1346">
        <v>3.37109375</v>
      </c>
      <c r="N1346">
        <v>1</v>
      </c>
      <c r="O1346">
        <v>3.37109375</v>
      </c>
    </row>
    <row r="1347" spans="1:15">
      <c r="A1347">
        <v>-0.85640685800000005</v>
      </c>
      <c r="B1347">
        <v>0.10900219899999999</v>
      </c>
      <c r="C1347">
        <v>-0.42820342900000002</v>
      </c>
      <c r="D1347">
        <v>-0.52500535299999995</v>
      </c>
      <c r="E1347">
        <v>4</v>
      </c>
      <c r="F1347">
        <v>30</v>
      </c>
      <c r="G1347">
        <v>12</v>
      </c>
      <c r="H1347">
        <v>1</v>
      </c>
      <c r="I1347">
        <v>1</v>
      </c>
      <c r="J1347">
        <v>24.699935910000001</v>
      </c>
      <c r="K1347">
        <v>13.861558909999999</v>
      </c>
      <c r="N1347">
        <v>0</v>
      </c>
      <c r="O1347">
        <v>0</v>
      </c>
    </row>
    <row r="1348" spans="1:15">
      <c r="A1348">
        <v>-0.324821254</v>
      </c>
      <c r="B1348">
        <v>0.88167497800000005</v>
      </c>
      <c r="C1348">
        <v>-0.162410627</v>
      </c>
      <c r="D1348">
        <v>0.39799723799999998</v>
      </c>
      <c r="E1348">
        <v>5</v>
      </c>
      <c r="F1348">
        <v>31</v>
      </c>
      <c r="G1348">
        <v>12</v>
      </c>
      <c r="H1348">
        <v>1</v>
      </c>
      <c r="I1348">
        <v>1</v>
      </c>
      <c r="J1348">
        <v>36.175968169999997</v>
      </c>
      <c r="K1348">
        <v>17.251071929999998</v>
      </c>
      <c r="L1348">
        <v>17.251071929999998</v>
      </c>
      <c r="M1348">
        <v>2.8478741649999999</v>
      </c>
      <c r="N1348">
        <v>1</v>
      </c>
      <c r="O1348">
        <v>2.8478741649999999</v>
      </c>
    </row>
    <row r="1349" spans="1:15">
      <c r="A1349">
        <v>-1.1607420509999999</v>
      </c>
      <c r="B1349">
        <v>0.76559185600000002</v>
      </c>
      <c r="C1349">
        <v>-0.58037102500000004</v>
      </c>
      <c r="D1349">
        <v>-0.27253782700000001</v>
      </c>
      <c r="E1349">
        <v>6</v>
      </c>
      <c r="F1349">
        <v>36</v>
      </c>
      <c r="G1349">
        <v>10</v>
      </c>
      <c r="H1349">
        <v>1</v>
      </c>
      <c r="I1349">
        <v>3</v>
      </c>
      <c r="J1349">
        <v>38.629547119999998</v>
      </c>
      <c r="K1349">
        <v>11.23554802</v>
      </c>
      <c r="L1349">
        <v>11.23554802</v>
      </c>
      <c r="M1349">
        <v>2.4190826419999998</v>
      </c>
      <c r="N1349">
        <v>1</v>
      </c>
      <c r="O1349">
        <v>2.4190826419999998</v>
      </c>
    </row>
    <row r="1350" spans="1:15">
      <c r="A1350">
        <v>-3.2769283000000003E-2</v>
      </c>
      <c r="B1350">
        <v>-1.8483827880000001</v>
      </c>
      <c r="C1350">
        <v>-1.6384640999999998E-2</v>
      </c>
      <c r="D1350">
        <v>-1.336476201</v>
      </c>
      <c r="E1350">
        <v>7</v>
      </c>
      <c r="F1350">
        <v>35</v>
      </c>
      <c r="G1350">
        <v>16</v>
      </c>
      <c r="H1350">
        <v>1</v>
      </c>
      <c r="I1350">
        <v>0</v>
      </c>
      <c r="J1350">
        <v>14.962286000000001</v>
      </c>
      <c r="K1350">
        <v>23.803384779999998</v>
      </c>
      <c r="N1350">
        <v>0</v>
      </c>
      <c r="O1350">
        <v>0</v>
      </c>
    </row>
    <row r="1351" spans="1:15">
      <c r="A1351">
        <v>0.41730996300000001</v>
      </c>
      <c r="B1351">
        <v>-1.1246182229999999</v>
      </c>
      <c r="C1351">
        <v>0.20865498099999999</v>
      </c>
      <c r="D1351">
        <v>-0.50556442999999995</v>
      </c>
      <c r="E1351">
        <v>8</v>
      </c>
      <c r="F1351">
        <v>38</v>
      </c>
      <c r="G1351">
        <v>16</v>
      </c>
      <c r="H1351">
        <v>1</v>
      </c>
      <c r="I1351">
        <v>0</v>
      </c>
      <c r="J1351">
        <v>26.133226390000001</v>
      </c>
      <c r="K1351">
        <v>27.103858949999999</v>
      </c>
      <c r="N1351">
        <v>0</v>
      </c>
      <c r="O1351">
        <v>0</v>
      </c>
    </row>
    <row r="1352" spans="1:15">
      <c r="A1352">
        <v>1.3139014469999999</v>
      </c>
      <c r="B1352">
        <v>9.414314E-2</v>
      </c>
      <c r="C1352">
        <v>0.65695072399999999</v>
      </c>
      <c r="D1352">
        <v>0.99119201300000004</v>
      </c>
      <c r="E1352">
        <v>9</v>
      </c>
      <c r="F1352">
        <v>44</v>
      </c>
      <c r="G1352">
        <v>12</v>
      </c>
      <c r="H1352">
        <v>1</v>
      </c>
      <c r="I1352">
        <v>2</v>
      </c>
      <c r="J1352">
        <v>53.494304659999997</v>
      </c>
      <c r="K1352">
        <v>29.683408740000001</v>
      </c>
      <c r="L1352">
        <v>29.683408740000001</v>
      </c>
      <c r="M1352">
        <v>3.3905882840000001</v>
      </c>
      <c r="N1352">
        <v>1</v>
      </c>
      <c r="O1352">
        <v>3.3905882840000001</v>
      </c>
    </row>
    <row r="1353" spans="1:15">
      <c r="A1353">
        <v>0.14350114999999999</v>
      </c>
      <c r="B1353">
        <v>-0.91883933500000003</v>
      </c>
      <c r="C1353">
        <v>7.1750574999999997E-2</v>
      </c>
      <c r="D1353">
        <v>-0.55195950400000005</v>
      </c>
      <c r="E1353">
        <v>0</v>
      </c>
      <c r="F1353">
        <v>23</v>
      </c>
      <c r="G1353">
        <v>10</v>
      </c>
      <c r="H1353">
        <v>0</v>
      </c>
      <c r="I1353">
        <v>1</v>
      </c>
      <c r="J1353">
        <v>15.076485630000001</v>
      </c>
      <c r="K1353">
        <v>16.46100616</v>
      </c>
      <c r="N1353">
        <v>0</v>
      </c>
      <c r="O1353">
        <v>0</v>
      </c>
    </row>
    <row r="1354" spans="1:15">
      <c r="A1354">
        <v>-9.3273190000000006E-2</v>
      </c>
      <c r="B1354">
        <v>1.4498949000000001E-2</v>
      </c>
      <c r="C1354">
        <v>-4.6636595000000003E-2</v>
      </c>
      <c r="D1354">
        <v>-5.531262E-2</v>
      </c>
      <c r="E1354">
        <v>1</v>
      </c>
      <c r="F1354">
        <v>22</v>
      </c>
      <c r="G1354">
        <v>10</v>
      </c>
      <c r="H1354">
        <v>0</v>
      </c>
      <c r="I1354">
        <v>3</v>
      </c>
      <c r="J1354">
        <v>30.63624763</v>
      </c>
      <c r="K1354">
        <v>14.84036064</v>
      </c>
      <c r="L1354">
        <v>14.84036064</v>
      </c>
      <c r="M1354">
        <v>2.6973505019999999</v>
      </c>
      <c r="N1354">
        <v>1</v>
      </c>
      <c r="O1354">
        <v>2.6973505019999999</v>
      </c>
    </row>
    <row r="1355" spans="1:15">
      <c r="A1355">
        <v>0.82894629399999997</v>
      </c>
      <c r="B1355">
        <v>0.96268488900000004</v>
      </c>
      <c r="C1355">
        <v>0.41447314699999999</v>
      </c>
      <c r="D1355">
        <v>1.267206974</v>
      </c>
      <c r="E1355">
        <v>2</v>
      </c>
      <c r="F1355">
        <v>25</v>
      </c>
      <c r="G1355">
        <v>10</v>
      </c>
      <c r="H1355">
        <v>1</v>
      </c>
      <c r="I1355">
        <v>2</v>
      </c>
      <c r="J1355">
        <v>47.706481930000002</v>
      </c>
      <c r="K1355">
        <v>20.973678589999999</v>
      </c>
      <c r="L1355">
        <v>20.973678589999999</v>
      </c>
      <c r="M1355">
        <v>3.0432682039999999</v>
      </c>
      <c r="N1355">
        <v>1</v>
      </c>
      <c r="O1355">
        <v>3.0432682039999999</v>
      </c>
    </row>
    <row r="1356" spans="1:15">
      <c r="A1356">
        <v>-0.208305991</v>
      </c>
      <c r="B1356">
        <v>1.2276610539999999</v>
      </c>
      <c r="C1356">
        <v>-0.104152995</v>
      </c>
      <c r="D1356">
        <v>0.72581351000000005</v>
      </c>
      <c r="E1356">
        <v>3</v>
      </c>
      <c r="F1356">
        <v>52</v>
      </c>
      <c r="G1356">
        <v>12</v>
      </c>
      <c r="H1356">
        <v>0</v>
      </c>
      <c r="I1356">
        <v>2</v>
      </c>
      <c r="J1356">
        <v>48.509761810000001</v>
      </c>
      <c r="K1356">
        <v>22.15016365</v>
      </c>
      <c r="L1356">
        <v>22.15016365</v>
      </c>
      <c r="M1356">
        <v>3.097844839</v>
      </c>
      <c r="N1356">
        <v>1</v>
      </c>
      <c r="O1356">
        <v>3.097844839</v>
      </c>
    </row>
    <row r="1357" spans="1:15">
      <c r="A1357">
        <v>-1.11262927</v>
      </c>
      <c r="B1357">
        <v>0.536391646</v>
      </c>
      <c r="C1357">
        <v>-0.556314635</v>
      </c>
      <c r="D1357">
        <v>-0.40155681399999998</v>
      </c>
      <c r="E1357">
        <v>4</v>
      </c>
      <c r="F1357">
        <v>35</v>
      </c>
      <c r="G1357">
        <v>16</v>
      </c>
      <c r="H1357">
        <v>1</v>
      </c>
      <c r="I1357">
        <v>3</v>
      </c>
      <c r="J1357">
        <v>41.181316379999998</v>
      </c>
      <c r="K1357">
        <v>17.324224470000001</v>
      </c>
      <c r="L1357">
        <v>17.324224470000001</v>
      </c>
      <c r="M1357">
        <v>2.8521058560000001</v>
      </c>
      <c r="N1357">
        <v>1</v>
      </c>
      <c r="O1357">
        <v>2.8521058560000001</v>
      </c>
    </row>
    <row r="1358" spans="1:15">
      <c r="A1358">
        <v>0.43126626699999998</v>
      </c>
      <c r="B1358">
        <v>-0.240413974</v>
      </c>
      <c r="C1358">
        <v>0.215633134</v>
      </c>
      <c r="D1358">
        <v>0.13255133199999999</v>
      </c>
      <c r="E1358">
        <v>5</v>
      </c>
      <c r="F1358">
        <v>44</v>
      </c>
      <c r="G1358">
        <v>12</v>
      </c>
      <c r="H1358">
        <v>1</v>
      </c>
      <c r="I1358">
        <v>1</v>
      </c>
      <c r="J1358">
        <v>38.190616609999999</v>
      </c>
      <c r="K1358">
        <v>24.38759804</v>
      </c>
      <c r="L1358">
        <v>24.38759804</v>
      </c>
      <c r="M1358">
        <v>3.1940746309999999</v>
      </c>
      <c r="N1358">
        <v>1</v>
      </c>
      <c r="O1358">
        <v>3.1940746309999999</v>
      </c>
    </row>
    <row r="1359" spans="1:15">
      <c r="A1359">
        <v>-1.4819495570000001</v>
      </c>
      <c r="B1359">
        <v>0.98488714200000005</v>
      </c>
      <c r="C1359">
        <v>-0.740974778</v>
      </c>
      <c r="D1359">
        <v>-0.34267217700000002</v>
      </c>
      <c r="E1359">
        <v>6</v>
      </c>
      <c r="F1359">
        <v>38</v>
      </c>
      <c r="G1359">
        <v>12</v>
      </c>
      <c r="H1359">
        <v>1</v>
      </c>
      <c r="I1359">
        <v>1</v>
      </c>
      <c r="J1359">
        <v>30.087934489999999</v>
      </c>
      <c r="K1359">
        <v>11.7083025</v>
      </c>
      <c r="L1359">
        <v>11.7083025</v>
      </c>
      <c r="M1359">
        <v>2.4602982999999998</v>
      </c>
      <c r="N1359">
        <v>1</v>
      </c>
      <c r="O1359">
        <v>2.4602982999999998</v>
      </c>
    </row>
    <row r="1360" spans="1:15">
      <c r="A1360">
        <v>-0.29178084199999998</v>
      </c>
      <c r="B1360">
        <v>-4.4552674E-2</v>
      </c>
      <c r="C1360">
        <v>-0.14589042099999999</v>
      </c>
      <c r="D1360">
        <v>-0.23691853600000001</v>
      </c>
      <c r="E1360">
        <v>7</v>
      </c>
      <c r="F1360">
        <v>40</v>
      </c>
      <c r="G1360">
        <v>12</v>
      </c>
      <c r="H1360">
        <v>1</v>
      </c>
      <c r="I1360">
        <v>1</v>
      </c>
      <c r="J1360">
        <v>32.156978610000003</v>
      </c>
      <c r="K1360">
        <v>19.249315259999999</v>
      </c>
      <c r="L1360">
        <v>19.249315259999999</v>
      </c>
      <c r="M1360">
        <v>2.9574754240000001</v>
      </c>
      <c r="N1360">
        <v>1</v>
      </c>
      <c r="O1360">
        <v>2.9574754240000001</v>
      </c>
    </row>
    <row r="1361" spans="1:15">
      <c r="A1361">
        <v>-1.022766498</v>
      </c>
      <c r="B1361">
        <v>-0.97956972600000003</v>
      </c>
      <c r="C1361">
        <v>-0.51138324899999998</v>
      </c>
      <c r="D1361">
        <v>-1.4155525149999999</v>
      </c>
      <c r="E1361">
        <v>8</v>
      </c>
      <c r="F1361">
        <v>43</v>
      </c>
      <c r="G1361">
        <v>20</v>
      </c>
      <c r="H1361">
        <v>1</v>
      </c>
      <c r="I1361">
        <v>3</v>
      </c>
      <c r="J1361">
        <v>35.213371279999997</v>
      </c>
      <c r="K1361">
        <v>23.463401789999999</v>
      </c>
      <c r="L1361">
        <v>23.463401789999999</v>
      </c>
      <c r="M1361">
        <v>3.1554417610000001</v>
      </c>
      <c r="N1361">
        <v>1</v>
      </c>
      <c r="O1361">
        <v>3.1554417610000001</v>
      </c>
    </row>
    <row r="1362" spans="1:15">
      <c r="A1362">
        <v>0.196265773</v>
      </c>
      <c r="B1362">
        <v>-0.60199516900000005</v>
      </c>
      <c r="C1362">
        <v>9.8132886000000003E-2</v>
      </c>
      <c r="D1362">
        <v>-0.28969782300000002</v>
      </c>
      <c r="E1362">
        <v>9</v>
      </c>
      <c r="F1362">
        <v>39</v>
      </c>
      <c r="G1362">
        <v>12</v>
      </c>
      <c r="H1362">
        <v>1</v>
      </c>
      <c r="I1362">
        <v>5</v>
      </c>
      <c r="J1362">
        <v>51.123626710000003</v>
      </c>
      <c r="K1362">
        <v>21.977594379999999</v>
      </c>
      <c r="L1362">
        <v>21.977594379999999</v>
      </c>
      <c r="M1362">
        <v>3.0900235180000002</v>
      </c>
      <c r="N1362">
        <v>1</v>
      </c>
      <c r="O1362">
        <v>3.0900235180000002</v>
      </c>
    </row>
    <row r="1363" spans="1:15">
      <c r="A1363">
        <v>-1.293033157</v>
      </c>
      <c r="B1363">
        <v>0.51128722400000004</v>
      </c>
      <c r="C1363">
        <v>-0.64651657799999995</v>
      </c>
      <c r="D1363">
        <v>-0.54630499700000001</v>
      </c>
      <c r="E1363">
        <v>0</v>
      </c>
      <c r="F1363">
        <v>47</v>
      </c>
      <c r="G1363">
        <v>10</v>
      </c>
      <c r="H1363">
        <v>0</v>
      </c>
      <c r="I1363">
        <v>1</v>
      </c>
      <c r="J1363">
        <v>24.744340900000001</v>
      </c>
      <c r="K1363">
        <v>12.64180088</v>
      </c>
      <c r="N1363">
        <v>0</v>
      </c>
      <c r="O1363">
        <v>0</v>
      </c>
    </row>
    <row r="1364" spans="1:15">
      <c r="A1364">
        <v>0.27256218900000001</v>
      </c>
      <c r="B1364">
        <v>-0.23464831</v>
      </c>
      <c r="C1364">
        <v>0.13628109399999999</v>
      </c>
      <c r="D1364">
        <v>2.5004071999999999E-2</v>
      </c>
      <c r="E1364">
        <v>1</v>
      </c>
      <c r="F1364">
        <v>23</v>
      </c>
      <c r="G1364">
        <v>10</v>
      </c>
      <c r="H1364">
        <v>0</v>
      </c>
      <c r="I1364">
        <v>3</v>
      </c>
      <c r="J1364">
        <v>32.000049590000003</v>
      </c>
      <c r="K1364">
        <v>17.23537254</v>
      </c>
      <c r="L1364">
        <v>17.23537254</v>
      </c>
      <c r="M1364">
        <v>2.8469638819999998</v>
      </c>
      <c r="N1364">
        <v>1</v>
      </c>
      <c r="O1364">
        <v>2.8469638819999998</v>
      </c>
    </row>
    <row r="1365" spans="1:15">
      <c r="A1365">
        <v>-1.124942653</v>
      </c>
      <c r="B1365">
        <v>0.71936040300000004</v>
      </c>
      <c r="C1365">
        <v>-0.56247132600000005</v>
      </c>
      <c r="D1365">
        <v>-0.280205021</v>
      </c>
      <c r="E1365">
        <v>2</v>
      </c>
      <c r="F1365">
        <v>40</v>
      </c>
      <c r="G1365">
        <v>16</v>
      </c>
      <c r="H1365">
        <v>0</v>
      </c>
      <c r="I1365">
        <v>0</v>
      </c>
      <c r="J1365">
        <v>24.63753891</v>
      </c>
      <c r="K1365">
        <v>18.250343319999999</v>
      </c>
      <c r="N1365">
        <v>0</v>
      </c>
      <c r="O1365">
        <v>0</v>
      </c>
    </row>
    <row r="1366" spans="1:15">
      <c r="A1366">
        <v>1.073370615</v>
      </c>
      <c r="B1366">
        <v>-1.1792319170000001</v>
      </c>
      <c r="C1366">
        <v>0.53668530699999994</v>
      </c>
      <c r="D1366">
        <v>-8.2850082000000005E-2</v>
      </c>
      <c r="E1366">
        <v>3</v>
      </c>
      <c r="F1366">
        <v>28</v>
      </c>
      <c r="G1366">
        <v>10</v>
      </c>
      <c r="H1366">
        <v>1</v>
      </c>
      <c r="I1366">
        <v>0</v>
      </c>
      <c r="J1366">
        <v>22.7057991</v>
      </c>
      <c r="K1366">
        <v>23.040224080000002</v>
      </c>
      <c r="N1366">
        <v>0</v>
      </c>
      <c r="O1366">
        <v>0</v>
      </c>
    </row>
    <row r="1367" spans="1:15">
      <c r="A1367">
        <v>0.18987755100000001</v>
      </c>
      <c r="B1367">
        <v>1.0821479679999999</v>
      </c>
      <c r="C1367">
        <v>9.4938776000000002E-2</v>
      </c>
      <c r="D1367">
        <v>0.90252667200000003</v>
      </c>
      <c r="E1367">
        <v>4</v>
      </c>
      <c r="F1367">
        <v>38</v>
      </c>
      <c r="G1367">
        <v>16</v>
      </c>
      <c r="H1367">
        <v>0</v>
      </c>
      <c r="I1367">
        <v>2</v>
      </c>
      <c r="J1367">
        <v>48.030319210000002</v>
      </c>
      <c r="K1367">
        <v>25.73926544</v>
      </c>
      <c r="L1367">
        <v>25.73926544</v>
      </c>
      <c r="M1367">
        <v>3.2480175500000001</v>
      </c>
      <c r="N1367">
        <v>1</v>
      </c>
      <c r="O1367">
        <v>3.2480175500000001</v>
      </c>
    </row>
    <row r="1368" spans="1:15">
      <c r="A1368">
        <v>-0.90739060199999999</v>
      </c>
      <c r="B1368">
        <v>0.46146282900000002</v>
      </c>
      <c r="C1368">
        <v>-0.453695301</v>
      </c>
      <c r="D1368">
        <v>-0.31041962400000001</v>
      </c>
      <c r="E1368">
        <v>5</v>
      </c>
      <c r="F1368">
        <v>31</v>
      </c>
      <c r="G1368">
        <v>16</v>
      </c>
      <c r="H1368">
        <v>1</v>
      </c>
      <c r="I1368">
        <v>1</v>
      </c>
      <c r="J1368">
        <v>30.674964899999999</v>
      </c>
      <c r="K1368">
        <v>17.755657200000002</v>
      </c>
      <c r="L1368">
        <v>17.755657200000002</v>
      </c>
      <c r="M1368">
        <v>2.8767042159999998</v>
      </c>
      <c r="N1368">
        <v>1</v>
      </c>
      <c r="O1368">
        <v>2.8767042159999998</v>
      </c>
    </row>
    <row r="1369" spans="1:15">
      <c r="A1369">
        <v>-0.22870242099999999</v>
      </c>
      <c r="B1369">
        <v>9.1905765E-2</v>
      </c>
      <c r="C1369">
        <v>-0.11435120999999999</v>
      </c>
      <c r="D1369">
        <v>-9.5579855000000005E-2</v>
      </c>
      <c r="E1369">
        <v>6</v>
      </c>
      <c r="F1369">
        <v>44</v>
      </c>
      <c r="G1369">
        <v>16</v>
      </c>
      <c r="H1369">
        <v>1</v>
      </c>
      <c r="I1369">
        <v>3</v>
      </c>
      <c r="J1369">
        <v>48.453041079999998</v>
      </c>
      <c r="K1369">
        <v>24.427785870000001</v>
      </c>
      <c r="L1369">
        <v>24.427785870000001</v>
      </c>
      <c r="M1369">
        <v>3.1957211490000001</v>
      </c>
      <c r="N1369">
        <v>1</v>
      </c>
      <c r="O1369">
        <v>3.1957211490000001</v>
      </c>
    </row>
    <row r="1370" spans="1:15">
      <c r="A1370">
        <v>-0.28341495300000002</v>
      </c>
      <c r="B1370">
        <v>0.23790625200000001</v>
      </c>
      <c r="C1370">
        <v>-0.141707477</v>
      </c>
      <c r="D1370">
        <v>-3.0323683000000001E-2</v>
      </c>
      <c r="E1370">
        <v>7</v>
      </c>
      <c r="F1370">
        <v>35</v>
      </c>
      <c r="G1370">
        <v>16</v>
      </c>
      <c r="H1370">
        <v>1</v>
      </c>
      <c r="I1370">
        <v>0</v>
      </c>
      <c r="J1370">
        <v>30.63611603</v>
      </c>
      <c r="K1370">
        <v>22.299510959999999</v>
      </c>
      <c r="L1370">
        <v>22.299510959999999</v>
      </c>
      <c r="M1370">
        <v>3.104564667</v>
      </c>
      <c r="N1370">
        <v>1</v>
      </c>
      <c r="O1370">
        <v>3.104564667</v>
      </c>
    </row>
    <row r="1371" spans="1:15">
      <c r="A1371">
        <v>1.1947514020000001</v>
      </c>
      <c r="B1371">
        <v>0.33517630999999998</v>
      </c>
      <c r="C1371">
        <v>0.59737570100000004</v>
      </c>
      <c r="D1371">
        <v>1.078646381</v>
      </c>
      <c r="E1371">
        <v>8</v>
      </c>
      <c r="F1371">
        <v>37</v>
      </c>
      <c r="G1371">
        <v>12</v>
      </c>
      <c r="H1371">
        <v>1</v>
      </c>
      <c r="I1371">
        <v>1</v>
      </c>
      <c r="J1371">
        <v>46.74375534</v>
      </c>
      <c r="K1371">
        <v>27.56850815</v>
      </c>
      <c r="L1371">
        <v>27.56850815</v>
      </c>
      <c r="M1371">
        <v>3.3166739939999998</v>
      </c>
      <c r="N1371">
        <v>1</v>
      </c>
      <c r="O1371">
        <v>3.3166739939999998</v>
      </c>
    </row>
    <row r="1372" spans="1:15">
      <c r="A1372">
        <v>0.739782206</v>
      </c>
      <c r="B1372">
        <v>-2.2451936909999999</v>
      </c>
      <c r="C1372">
        <v>0.369891103</v>
      </c>
      <c r="D1372">
        <v>-1.0749720490000001</v>
      </c>
      <c r="E1372">
        <v>9</v>
      </c>
      <c r="F1372">
        <v>40</v>
      </c>
      <c r="G1372">
        <v>16</v>
      </c>
      <c r="H1372">
        <v>1</v>
      </c>
      <c r="I1372">
        <v>0</v>
      </c>
      <c r="J1372">
        <v>20.100336070000001</v>
      </c>
      <c r="K1372">
        <v>29.438694000000002</v>
      </c>
      <c r="N1372">
        <v>0</v>
      </c>
      <c r="O1372">
        <v>0</v>
      </c>
    </row>
    <row r="1373" spans="1:15">
      <c r="A1373">
        <v>1.008187709</v>
      </c>
      <c r="B1373">
        <v>6.934913E-3</v>
      </c>
      <c r="C1373">
        <v>0.50409385500000004</v>
      </c>
      <c r="D1373">
        <v>0.71416186100000001</v>
      </c>
      <c r="E1373">
        <v>0</v>
      </c>
      <c r="F1373">
        <v>21</v>
      </c>
      <c r="G1373">
        <v>10</v>
      </c>
      <c r="H1373">
        <v>0</v>
      </c>
      <c r="I1373">
        <v>0</v>
      </c>
      <c r="J1373">
        <v>24.46994209</v>
      </c>
      <c r="K1373">
        <v>21.24912643</v>
      </c>
      <c r="N1373">
        <v>0</v>
      </c>
      <c r="O1373">
        <v>0</v>
      </c>
    </row>
    <row r="1374" spans="1:15">
      <c r="A1374">
        <v>-0.55061446800000002</v>
      </c>
      <c r="B1374">
        <v>-1.21617905</v>
      </c>
      <c r="C1374">
        <v>-0.27530723400000001</v>
      </c>
      <c r="D1374">
        <v>-1.2515355960000001</v>
      </c>
      <c r="E1374">
        <v>1</v>
      </c>
      <c r="F1374">
        <v>22</v>
      </c>
      <c r="G1374">
        <v>10</v>
      </c>
      <c r="H1374">
        <v>0</v>
      </c>
      <c r="I1374">
        <v>0</v>
      </c>
      <c r="J1374">
        <v>1.281572819</v>
      </c>
      <c r="K1374">
        <v>12.096313479999999</v>
      </c>
      <c r="N1374">
        <v>0</v>
      </c>
      <c r="O1374">
        <v>0</v>
      </c>
    </row>
    <row r="1375" spans="1:15">
      <c r="A1375">
        <v>0.223807485</v>
      </c>
      <c r="B1375">
        <v>1.111155331</v>
      </c>
      <c r="C1375">
        <v>0.111903742</v>
      </c>
      <c r="D1375">
        <v>0.94700755700000006</v>
      </c>
      <c r="E1375">
        <v>2</v>
      </c>
      <c r="F1375">
        <v>28</v>
      </c>
      <c r="G1375">
        <v>16</v>
      </c>
      <c r="H1375">
        <v>0</v>
      </c>
      <c r="I1375">
        <v>4</v>
      </c>
      <c r="J1375">
        <v>54.564090729999997</v>
      </c>
      <c r="K1375">
        <v>23.942844390000001</v>
      </c>
      <c r="L1375">
        <v>23.942844390000001</v>
      </c>
      <c r="M1375">
        <v>3.1756694319999998</v>
      </c>
      <c r="N1375">
        <v>1</v>
      </c>
      <c r="O1375">
        <v>3.1756694319999998</v>
      </c>
    </row>
    <row r="1376" spans="1:15">
      <c r="A1376">
        <v>-0.45117078900000002</v>
      </c>
      <c r="B1376">
        <v>-1.6265120319999999</v>
      </c>
      <c r="C1376">
        <v>-0.22558539399999999</v>
      </c>
      <c r="D1376">
        <v>-1.473153946</v>
      </c>
      <c r="E1376">
        <v>3</v>
      </c>
      <c r="F1376">
        <v>46</v>
      </c>
      <c r="G1376">
        <v>16</v>
      </c>
      <c r="H1376">
        <v>0</v>
      </c>
      <c r="I1376">
        <v>2</v>
      </c>
      <c r="J1376">
        <v>22.72215271</v>
      </c>
      <c r="K1376">
        <v>23.492975229999999</v>
      </c>
      <c r="N1376">
        <v>0</v>
      </c>
      <c r="O1376">
        <v>0</v>
      </c>
    </row>
    <row r="1377" spans="1:15">
      <c r="A1377">
        <v>-1.775945146</v>
      </c>
      <c r="B1377">
        <v>0.55229841000000002</v>
      </c>
      <c r="C1377">
        <v>-0.88797257299999999</v>
      </c>
      <c r="D1377">
        <v>-0.85687939599999996</v>
      </c>
      <c r="E1377">
        <v>4</v>
      </c>
      <c r="F1377">
        <v>28</v>
      </c>
      <c r="G1377">
        <v>10</v>
      </c>
      <c r="H1377">
        <v>1</v>
      </c>
      <c r="I1377">
        <v>1</v>
      </c>
      <c r="J1377">
        <v>18.41744804</v>
      </c>
      <c r="K1377">
        <v>5.9443292620000001</v>
      </c>
      <c r="N1377">
        <v>0</v>
      </c>
      <c r="O1377">
        <v>0</v>
      </c>
    </row>
    <row r="1378" spans="1:15">
      <c r="A1378">
        <v>1.8330643360000001</v>
      </c>
      <c r="B1378">
        <v>-1.400331191</v>
      </c>
      <c r="C1378">
        <v>0.91653216800000004</v>
      </c>
      <c r="D1378">
        <v>0.29446613300000002</v>
      </c>
      <c r="E1378">
        <v>5</v>
      </c>
      <c r="F1378">
        <v>31</v>
      </c>
      <c r="G1378">
        <v>10</v>
      </c>
      <c r="H1378">
        <v>1</v>
      </c>
      <c r="I1378">
        <v>4</v>
      </c>
      <c r="J1378">
        <v>48.43359375</v>
      </c>
      <c r="K1378">
        <v>28.19838524</v>
      </c>
      <c r="L1378">
        <v>28.19838524</v>
      </c>
      <c r="M1378">
        <v>3.3392646309999998</v>
      </c>
      <c r="N1378">
        <v>1</v>
      </c>
      <c r="O1378">
        <v>3.3392646309999998</v>
      </c>
    </row>
    <row r="1379" spans="1:15">
      <c r="A1379">
        <v>0.473513725</v>
      </c>
      <c r="B1379">
        <v>-0.27563501200000001</v>
      </c>
      <c r="C1379">
        <v>0.23675686200000001</v>
      </c>
      <c r="D1379">
        <v>0.137243963</v>
      </c>
      <c r="E1379">
        <v>6</v>
      </c>
      <c r="F1379">
        <v>36</v>
      </c>
      <c r="G1379">
        <v>16</v>
      </c>
      <c r="H1379">
        <v>1</v>
      </c>
      <c r="I1379">
        <v>4</v>
      </c>
      <c r="J1379">
        <v>53.04692841</v>
      </c>
      <c r="K1379">
        <v>27.041082379999999</v>
      </c>
      <c r="L1379">
        <v>27.041082379999999</v>
      </c>
      <c r="M1379">
        <v>3.2973573209999998</v>
      </c>
      <c r="N1379">
        <v>1</v>
      </c>
      <c r="O1379">
        <v>3.2973573209999998</v>
      </c>
    </row>
    <row r="1380" spans="1:15">
      <c r="A1380">
        <v>1.451751944</v>
      </c>
      <c r="B1380">
        <v>-1.464715626</v>
      </c>
      <c r="C1380">
        <v>0.72587597199999998</v>
      </c>
      <c r="D1380">
        <v>-1.9527592E-2</v>
      </c>
      <c r="E1380">
        <v>7</v>
      </c>
      <c r="F1380">
        <v>44</v>
      </c>
      <c r="G1380">
        <v>12</v>
      </c>
      <c r="H1380">
        <v>1</v>
      </c>
      <c r="I1380">
        <v>1</v>
      </c>
      <c r="J1380">
        <v>36.365669250000003</v>
      </c>
      <c r="K1380">
        <v>30.510511399999999</v>
      </c>
      <c r="L1380">
        <v>30.510511399999999</v>
      </c>
      <c r="M1380">
        <v>3.41807127</v>
      </c>
      <c r="N1380">
        <v>1</v>
      </c>
      <c r="O1380">
        <v>3.41807127</v>
      </c>
    </row>
    <row r="1381" spans="1:15">
      <c r="A1381">
        <v>-0.123008491</v>
      </c>
      <c r="B1381">
        <v>1.5735485220000001</v>
      </c>
      <c r="C1381">
        <v>-6.1504245999999999E-2</v>
      </c>
      <c r="D1381">
        <v>1.031598821</v>
      </c>
      <c r="E1381">
        <v>8</v>
      </c>
      <c r="F1381">
        <v>41</v>
      </c>
      <c r="G1381">
        <v>16</v>
      </c>
      <c r="H1381">
        <v>1</v>
      </c>
      <c r="I1381">
        <v>0</v>
      </c>
      <c r="J1381">
        <v>45.779186250000002</v>
      </c>
      <c r="K1381">
        <v>24.46194839</v>
      </c>
      <c r="L1381">
        <v>24.46194839</v>
      </c>
      <c r="M1381">
        <v>3.1971187589999999</v>
      </c>
      <c r="N1381">
        <v>1</v>
      </c>
      <c r="O1381">
        <v>3.1971187589999999</v>
      </c>
    </row>
    <row r="1382" spans="1:15">
      <c r="A1382">
        <v>-7.1790507000000003E-2</v>
      </c>
      <c r="B1382">
        <v>-1.4033316250000001</v>
      </c>
      <c r="C1382">
        <v>-3.5895253000000002E-2</v>
      </c>
      <c r="D1382">
        <v>-1.0476821670000001</v>
      </c>
      <c r="E1382">
        <v>9</v>
      </c>
      <c r="F1382">
        <v>38</v>
      </c>
      <c r="G1382">
        <v>12</v>
      </c>
      <c r="H1382">
        <v>1</v>
      </c>
      <c r="I1382">
        <v>1</v>
      </c>
      <c r="J1382">
        <v>21.627813339999999</v>
      </c>
      <c r="K1382">
        <v>20.16925621</v>
      </c>
      <c r="N1382">
        <v>0</v>
      </c>
      <c r="O1382">
        <v>0</v>
      </c>
    </row>
    <row r="1383" spans="1:15">
      <c r="A1383">
        <v>0.93239899000000004</v>
      </c>
      <c r="B1383">
        <v>6.6207130000000003E-3</v>
      </c>
      <c r="C1383">
        <v>0.46619949500000002</v>
      </c>
      <c r="D1383">
        <v>0.660623187</v>
      </c>
      <c r="E1383">
        <v>0</v>
      </c>
      <c r="F1383">
        <v>25</v>
      </c>
      <c r="G1383">
        <v>10</v>
      </c>
      <c r="H1383">
        <v>0</v>
      </c>
      <c r="I1383">
        <v>1</v>
      </c>
      <c r="J1383">
        <v>30.427478789999999</v>
      </c>
      <c r="K1383">
        <v>21.594394680000001</v>
      </c>
      <c r="L1383">
        <v>21.594394680000001</v>
      </c>
      <c r="M1383">
        <v>3.0724337099999999</v>
      </c>
      <c r="N1383">
        <v>1</v>
      </c>
      <c r="O1383">
        <v>3.0724337099999999</v>
      </c>
    </row>
    <row r="1384" spans="1:15">
      <c r="A1384">
        <v>0.78271465799999995</v>
      </c>
      <c r="B1384">
        <v>0.60880323599999997</v>
      </c>
      <c r="C1384">
        <v>0.39135732899999998</v>
      </c>
      <c r="D1384">
        <v>0.98322298200000002</v>
      </c>
      <c r="E1384">
        <v>1</v>
      </c>
      <c r="F1384">
        <v>23</v>
      </c>
      <c r="G1384">
        <v>10</v>
      </c>
      <c r="H1384">
        <v>0</v>
      </c>
      <c r="I1384">
        <v>4</v>
      </c>
      <c r="J1384">
        <v>48.4986763</v>
      </c>
      <c r="K1384">
        <v>20.296287540000002</v>
      </c>
      <c r="L1384">
        <v>20.296287540000002</v>
      </c>
      <c r="M1384">
        <v>3.0104379649999999</v>
      </c>
      <c r="N1384">
        <v>1</v>
      </c>
      <c r="O1384">
        <v>3.0104379649999999</v>
      </c>
    </row>
    <row r="1385" spans="1:15">
      <c r="A1385">
        <v>-0.18731468900000001</v>
      </c>
      <c r="B1385">
        <v>0.81519043300000005</v>
      </c>
      <c r="C1385">
        <v>-9.3657344000000003E-2</v>
      </c>
      <c r="D1385">
        <v>0.44748697199999998</v>
      </c>
      <c r="E1385">
        <v>2</v>
      </c>
      <c r="F1385">
        <v>26</v>
      </c>
      <c r="G1385">
        <v>10</v>
      </c>
      <c r="H1385">
        <v>1</v>
      </c>
      <c r="I1385">
        <v>1</v>
      </c>
      <c r="J1385">
        <v>33.269844059999997</v>
      </c>
      <c r="K1385">
        <v>15.076111790000001</v>
      </c>
      <c r="L1385">
        <v>15.076111790000001</v>
      </c>
      <c r="M1385">
        <v>2.7131114009999999</v>
      </c>
      <c r="N1385">
        <v>1</v>
      </c>
      <c r="O1385">
        <v>2.7131114009999999</v>
      </c>
    </row>
    <row r="1386" spans="1:15">
      <c r="A1386">
        <v>0.97688247100000003</v>
      </c>
      <c r="B1386">
        <v>6.5474249999999999E-3</v>
      </c>
      <c r="C1386">
        <v>0.48844123499999997</v>
      </c>
      <c r="D1386">
        <v>0.69186409199999999</v>
      </c>
      <c r="E1386">
        <v>3</v>
      </c>
      <c r="F1386">
        <v>26</v>
      </c>
      <c r="G1386">
        <v>10</v>
      </c>
      <c r="H1386">
        <v>0</v>
      </c>
      <c r="I1386">
        <v>0</v>
      </c>
      <c r="J1386">
        <v>26.202369690000001</v>
      </c>
      <c r="K1386">
        <v>22.06129456</v>
      </c>
      <c r="N1386">
        <v>0</v>
      </c>
      <c r="O1386">
        <v>0</v>
      </c>
    </row>
    <row r="1387" spans="1:15">
      <c r="A1387">
        <v>1.4976467680000001</v>
      </c>
      <c r="B1387">
        <v>-8.0964188000000006E-2</v>
      </c>
      <c r="C1387">
        <v>0.74882338400000004</v>
      </c>
      <c r="D1387">
        <v>0.99602433999999995</v>
      </c>
      <c r="E1387">
        <v>4</v>
      </c>
      <c r="F1387">
        <v>32</v>
      </c>
      <c r="G1387">
        <v>16</v>
      </c>
      <c r="H1387">
        <v>0</v>
      </c>
      <c r="I1387">
        <v>1</v>
      </c>
      <c r="J1387">
        <v>41.752292629999999</v>
      </c>
      <c r="K1387">
        <v>32.385879520000003</v>
      </c>
      <c r="L1387">
        <v>32.385879520000003</v>
      </c>
      <c r="M1387">
        <v>3.4777224059999998</v>
      </c>
      <c r="N1387">
        <v>1</v>
      </c>
      <c r="O1387">
        <v>3.4777224059999998</v>
      </c>
    </row>
    <row r="1388" spans="1:15">
      <c r="A1388">
        <v>-0.156449908</v>
      </c>
      <c r="B1388">
        <v>0.760631434</v>
      </c>
      <c r="C1388">
        <v>-7.8224953999999999E-2</v>
      </c>
      <c r="D1388">
        <v>0.43043101499999997</v>
      </c>
      <c r="E1388">
        <v>5</v>
      </c>
      <c r="F1388">
        <v>41</v>
      </c>
      <c r="G1388">
        <v>12</v>
      </c>
      <c r="H1388">
        <v>1</v>
      </c>
      <c r="I1388">
        <v>5</v>
      </c>
      <c r="J1388">
        <v>60.565170289999998</v>
      </c>
      <c r="K1388">
        <v>20.261301039999999</v>
      </c>
      <c r="L1388">
        <v>20.261301039999999</v>
      </c>
      <c r="M1388">
        <v>3.0087127690000002</v>
      </c>
      <c r="N1388">
        <v>1</v>
      </c>
      <c r="O1388">
        <v>3.0087127690000002</v>
      </c>
    </row>
    <row r="1389" spans="1:15">
      <c r="A1389">
        <v>-0.22137121600000001</v>
      </c>
      <c r="B1389">
        <v>0.243072028</v>
      </c>
      <c r="C1389">
        <v>-0.110685608</v>
      </c>
      <c r="D1389">
        <v>1.6993182999999999E-2</v>
      </c>
      <c r="E1389">
        <v>6</v>
      </c>
      <c r="F1389">
        <v>35</v>
      </c>
      <c r="G1389">
        <v>12</v>
      </c>
      <c r="H1389">
        <v>1</v>
      </c>
      <c r="I1389">
        <v>1</v>
      </c>
      <c r="J1389">
        <v>33.203918459999997</v>
      </c>
      <c r="K1389">
        <v>18.671772000000001</v>
      </c>
      <c r="L1389">
        <v>18.671772000000001</v>
      </c>
      <c r="M1389">
        <v>2.9270129200000001</v>
      </c>
      <c r="N1389">
        <v>1</v>
      </c>
      <c r="O1389">
        <v>2.9270129200000001</v>
      </c>
    </row>
    <row r="1390" spans="1:15">
      <c r="A1390">
        <v>-0.101067423</v>
      </c>
      <c r="B1390">
        <v>1.3587763239999999</v>
      </c>
      <c r="C1390">
        <v>-5.0533712000000001E-2</v>
      </c>
      <c r="D1390">
        <v>0.89442096599999998</v>
      </c>
      <c r="E1390">
        <v>7</v>
      </c>
      <c r="F1390">
        <v>42</v>
      </c>
      <c r="G1390">
        <v>16</v>
      </c>
      <c r="H1390">
        <v>1</v>
      </c>
      <c r="I1390">
        <v>0</v>
      </c>
      <c r="J1390">
        <v>44.533050539999998</v>
      </c>
      <c r="K1390">
        <v>24.793596269999998</v>
      </c>
      <c r="L1390">
        <v>24.793596269999998</v>
      </c>
      <c r="M1390">
        <v>3.2105853560000002</v>
      </c>
      <c r="N1390">
        <v>1</v>
      </c>
      <c r="O1390">
        <v>3.2105853560000002</v>
      </c>
    </row>
    <row r="1391" spans="1:15">
      <c r="A1391">
        <v>-1.4397317700000001</v>
      </c>
      <c r="B1391">
        <v>0.963327084</v>
      </c>
      <c r="C1391">
        <v>-0.71986588500000004</v>
      </c>
      <c r="D1391">
        <v>-0.32829319899999998</v>
      </c>
      <c r="E1391">
        <v>8</v>
      </c>
      <c r="F1391">
        <v>42</v>
      </c>
      <c r="G1391">
        <v>16</v>
      </c>
      <c r="H1391">
        <v>1</v>
      </c>
      <c r="I1391">
        <v>1</v>
      </c>
      <c r="J1391">
        <v>34.86048126</v>
      </c>
      <c r="K1391">
        <v>16.76161003</v>
      </c>
      <c r="L1391">
        <v>16.76161003</v>
      </c>
      <c r="M1391">
        <v>2.8190910819999999</v>
      </c>
      <c r="N1391">
        <v>1</v>
      </c>
      <c r="O1391">
        <v>2.8190910819999999</v>
      </c>
    </row>
    <row r="1392" spans="1:15">
      <c r="A1392">
        <v>-0.26079196799999999</v>
      </c>
      <c r="B1392">
        <v>0.43831169199999997</v>
      </c>
      <c r="C1392">
        <v>-0.13039598399999999</v>
      </c>
      <c r="D1392">
        <v>0.127995103</v>
      </c>
      <c r="E1392">
        <v>9</v>
      </c>
      <c r="F1392">
        <v>42</v>
      </c>
      <c r="G1392">
        <v>12</v>
      </c>
      <c r="H1392">
        <v>1</v>
      </c>
      <c r="I1392">
        <v>1</v>
      </c>
      <c r="J1392">
        <v>37.335941310000003</v>
      </c>
      <c r="K1392">
        <v>19.83524895</v>
      </c>
      <c r="L1392">
        <v>19.83524895</v>
      </c>
      <c r="M1392">
        <v>2.9874606130000001</v>
      </c>
      <c r="N1392">
        <v>1</v>
      </c>
      <c r="O1392">
        <v>2.9874606130000001</v>
      </c>
    </row>
    <row r="1393" spans="1:15">
      <c r="A1393">
        <v>-1.6939310409999999</v>
      </c>
      <c r="B1393">
        <v>6.3641500000000004E-2</v>
      </c>
      <c r="C1393">
        <v>-0.846965521</v>
      </c>
      <c r="D1393">
        <v>-1.1464144199999999</v>
      </c>
      <c r="E1393">
        <v>0</v>
      </c>
      <c r="F1393">
        <v>42</v>
      </c>
      <c r="G1393">
        <v>10</v>
      </c>
      <c r="H1393">
        <v>0</v>
      </c>
      <c r="I1393">
        <v>1</v>
      </c>
      <c r="J1393">
        <v>15.543026920000001</v>
      </c>
      <c r="K1393">
        <v>9.2364139559999998</v>
      </c>
      <c r="N1393">
        <v>0</v>
      </c>
      <c r="O1393">
        <v>0</v>
      </c>
    </row>
    <row r="1394" spans="1:15">
      <c r="A1394">
        <v>-0.122438295</v>
      </c>
      <c r="B1394">
        <v>-0.80757428099999995</v>
      </c>
      <c r="C1394">
        <v>-6.1219148000000001E-2</v>
      </c>
      <c r="D1394">
        <v>-0.65997832199999995</v>
      </c>
      <c r="E1394">
        <v>1</v>
      </c>
      <c r="F1394">
        <v>28</v>
      </c>
      <c r="G1394">
        <v>10</v>
      </c>
      <c r="H1394">
        <v>0</v>
      </c>
      <c r="I1394">
        <v>2</v>
      </c>
      <c r="J1394">
        <v>20.780260089999999</v>
      </c>
      <c r="K1394">
        <v>15.8653698</v>
      </c>
      <c r="N1394">
        <v>0</v>
      </c>
      <c r="O1394">
        <v>0</v>
      </c>
    </row>
    <row r="1395" spans="1:15">
      <c r="A1395">
        <v>-0.63108820099999996</v>
      </c>
      <c r="B1395">
        <v>1.1972337900000001</v>
      </c>
      <c r="C1395">
        <v>-0.31554410100000002</v>
      </c>
      <c r="D1395">
        <v>0.40677612299999999</v>
      </c>
      <c r="E1395">
        <v>2</v>
      </c>
      <c r="F1395">
        <v>47</v>
      </c>
      <c r="G1395">
        <v>10</v>
      </c>
      <c r="H1395">
        <v>1</v>
      </c>
      <c r="I1395">
        <v>1</v>
      </c>
      <c r="J1395">
        <v>41.181312560000002</v>
      </c>
      <c r="K1395">
        <v>16.613470079999999</v>
      </c>
      <c r="L1395">
        <v>16.613470079999999</v>
      </c>
      <c r="M1395">
        <v>2.810213804</v>
      </c>
      <c r="N1395">
        <v>1</v>
      </c>
      <c r="O1395">
        <v>2.810213804</v>
      </c>
    </row>
    <row r="1396" spans="1:15">
      <c r="A1396">
        <v>-0.94074258600000005</v>
      </c>
      <c r="B1396">
        <v>-0.1766228</v>
      </c>
      <c r="C1396">
        <v>-0.47037129300000002</v>
      </c>
      <c r="D1396">
        <v>-0.78729277600000003</v>
      </c>
      <c r="E1396">
        <v>3</v>
      </c>
      <c r="F1396">
        <v>33</v>
      </c>
      <c r="G1396">
        <v>12</v>
      </c>
      <c r="H1396">
        <v>1</v>
      </c>
      <c r="I1396">
        <v>1</v>
      </c>
      <c r="J1396">
        <v>22.752487179999999</v>
      </c>
      <c r="K1396">
        <v>13.95554447</v>
      </c>
      <c r="N1396">
        <v>0</v>
      </c>
      <c r="O1396">
        <v>0</v>
      </c>
    </row>
    <row r="1397" spans="1:15">
      <c r="A1397">
        <v>-5.3490573999999999E-2</v>
      </c>
      <c r="B1397">
        <v>-1.7680493370000001</v>
      </c>
      <c r="C1397">
        <v>-2.6745287E-2</v>
      </c>
      <c r="D1397">
        <v>-1.2939697509999999</v>
      </c>
      <c r="E1397">
        <v>4</v>
      </c>
      <c r="F1397">
        <v>31</v>
      </c>
      <c r="G1397">
        <v>16</v>
      </c>
      <c r="H1397">
        <v>1</v>
      </c>
      <c r="I1397">
        <v>1</v>
      </c>
      <c r="J1397">
        <v>18.87236214</v>
      </c>
      <c r="K1397">
        <v>22.879056930000001</v>
      </c>
      <c r="N1397">
        <v>0</v>
      </c>
      <c r="O1397">
        <v>0</v>
      </c>
    </row>
    <row r="1398" spans="1:15">
      <c r="A1398">
        <v>-0.23773011699999999</v>
      </c>
      <c r="B1398">
        <v>0.235427889</v>
      </c>
      <c r="C1398">
        <v>-0.118865058</v>
      </c>
      <c r="D1398" s="87">
        <v>5.33458E-5</v>
      </c>
      <c r="E1398">
        <v>5</v>
      </c>
      <c r="F1398">
        <v>46</v>
      </c>
      <c r="G1398">
        <v>16</v>
      </c>
      <c r="H1398">
        <v>0</v>
      </c>
      <c r="I1398">
        <v>4</v>
      </c>
      <c r="J1398">
        <v>50.400638579999999</v>
      </c>
      <c r="K1398">
        <v>24.7736187</v>
      </c>
      <c r="L1398">
        <v>24.7736187</v>
      </c>
      <c r="M1398">
        <v>3.2097792630000002</v>
      </c>
      <c r="N1398">
        <v>1</v>
      </c>
      <c r="O1398">
        <v>3.2097792630000002</v>
      </c>
    </row>
    <row r="1399" spans="1:15">
      <c r="A1399">
        <v>2.0586615880000001</v>
      </c>
      <c r="B1399">
        <v>-1.241028802</v>
      </c>
      <c r="C1399">
        <v>1.029330794</v>
      </c>
      <c r="D1399">
        <v>0.56636507400000002</v>
      </c>
      <c r="E1399">
        <v>6</v>
      </c>
      <c r="F1399">
        <v>46</v>
      </c>
      <c r="G1399">
        <v>10</v>
      </c>
      <c r="H1399">
        <v>1</v>
      </c>
      <c r="I1399">
        <v>1</v>
      </c>
      <c r="J1399">
        <v>42.696380619999999</v>
      </c>
      <c r="K1399">
        <v>32.551971440000003</v>
      </c>
      <c r="L1399">
        <v>32.551971440000003</v>
      </c>
      <c r="M1399">
        <v>3.4828379150000002</v>
      </c>
      <c r="N1399">
        <v>1</v>
      </c>
      <c r="O1399">
        <v>3.4828379150000002</v>
      </c>
    </row>
    <row r="1400" spans="1:15">
      <c r="A1400">
        <v>-0.74471584199999996</v>
      </c>
      <c r="B1400">
        <v>0.329521499</v>
      </c>
      <c r="C1400">
        <v>-0.37235792099999998</v>
      </c>
      <c r="D1400">
        <v>-0.289736997</v>
      </c>
      <c r="E1400">
        <v>7</v>
      </c>
      <c r="F1400">
        <v>35</v>
      </c>
      <c r="G1400">
        <v>16</v>
      </c>
      <c r="H1400">
        <v>1</v>
      </c>
      <c r="I1400">
        <v>4</v>
      </c>
      <c r="J1400">
        <v>47.523155209999999</v>
      </c>
      <c r="K1400">
        <v>19.531705859999999</v>
      </c>
      <c r="L1400">
        <v>19.531705859999999</v>
      </c>
      <c r="M1400">
        <v>2.9720389840000001</v>
      </c>
      <c r="N1400">
        <v>1</v>
      </c>
      <c r="O1400">
        <v>2.9720389840000001</v>
      </c>
    </row>
    <row r="1401" spans="1:15">
      <c r="A1401">
        <v>-1.0049343100000001</v>
      </c>
      <c r="B1401">
        <v>3.0812897600000002</v>
      </c>
      <c r="C1401">
        <v>-0.50246715500000005</v>
      </c>
      <c r="D1401">
        <v>1.482557535</v>
      </c>
      <c r="E1401">
        <v>8</v>
      </c>
      <c r="F1401">
        <v>45</v>
      </c>
      <c r="G1401">
        <v>12</v>
      </c>
      <c r="H1401">
        <v>1</v>
      </c>
      <c r="I1401">
        <v>0</v>
      </c>
      <c r="J1401">
        <v>49.790691379999998</v>
      </c>
      <c r="K1401">
        <v>15.970394130000001</v>
      </c>
      <c r="L1401">
        <v>15.970394130000001</v>
      </c>
      <c r="M1401">
        <v>2.770736694</v>
      </c>
      <c r="N1401">
        <v>1</v>
      </c>
      <c r="O1401">
        <v>2.770736694</v>
      </c>
    </row>
    <row r="1402" spans="1:15">
      <c r="A1402">
        <v>0.32066472600000001</v>
      </c>
      <c r="B1402">
        <v>0.15355131699999999</v>
      </c>
      <c r="C1402">
        <v>0.16033236300000001</v>
      </c>
      <c r="D1402">
        <v>0.33468986099999998</v>
      </c>
      <c r="E1402">
        <v>9</v>
      </c>
      <c r="F1402">
        <v>40</v>
      </c>
      <c r="G1402">
        <v>16</v>
      </c>
      <c r="H1402">
        <v>1</v>
      </c>
      <c r="I1402">
        <v>2</v>
      </c>
      <c r="J1402">
        <v>47.01627731</v>
      </c>
      <c r="K1402">
        <v>26.923988340000001</v>
      </c>
      <c r="L1402">
        <v>26.923988340000001</v>
      </c>
      <c r="M1402">
        <v>3.2930176260000001</v>
      </c>
      <c r="N1402">
        <v>1</v>
      </c>
      <c r="O1402">
        <v>3.2930176260000001</v>
      </c>
    </row>
    <row r="1403" spans="1:15">
      <c r="A1403">
        <v>-0.52014642</v>
      </c>
      <c r="B1403">
        <v>-0.40308775400000002</v>
      </c>
      <c r="C1403">
        <v>-0.26007321</v>
      </c>
      <c r="D1403">
        <v>-0.65233569000000002</v>
      </c>
      <c r="E1403">
        <v>0</v>
      </c>
      <c r="F1403">
        <v>30</v>
      </c>
      <c r="G1403">
        <v>10</v>
      </c>
      <c r="H1403">
        <v>0</v>
      </c>
      <c r="I1403">
        <v>3</v>
      </c>
      <c r="J1403">
        <v>26.671972270000001</v>
      </c>
      <c r="K1403">
        <v>13.87912178</v>
      </c>
      <c r="N1403">
        <v>0</v>
      </c>
      <c r="O1403">
        <v>0</v>
      </c>
    </row>
    <row r="1404" spans="1:15">
      <c r="A1404">
        <v>0.99106783099999995</v>
      </c>
      <c r="B1404">
        <v>-0.60560019099999995</v>
      </c>
      <c r="C1404">
        <v>0.49553391499999999</v>
      </c>
      <c r="D1404">
        <v>0.26686326799999999</v>
      </c>
      <c r="E1404">
        <v>1</v>
      </c>
      <c r="F1404">
        <v>30</v>
      </c>
      <c r="G1404">
        <v>10</v>
      </c>
      <c r="H1404">
        <v>0</v>
      </c>
      <c r="I1404">
        <v>3</v>
      </c>
      <c r="J1404">
        <v>37.702358250000003</v>
      </c>
      <c r="K1404">
        <v>22.946407319999999</v>
      </c>
      <c r="L1404">
        <v>22.946407319999999</v>
      </c>
      <c r="M1404">
        <v>3.1331613059999999</v>
      </c>
      <c r="N1404">
        <v>1</v>
      </c>
      <c r="O1404">
        <v>3.1331613059999999</v>
      </c>
    </row>
    <row r="1405" spans="1:15">
      <c r="A1405">
        <v>-1.9204763999999999E-2</v>
      </c>
      <c r="B1405">
        <v>2.0280460140000001</v>
      </c>
      <c r="C1405">
        <v>-9.6023819999999996E-3</v>
      </c>
      <c r="D1405">
        <v>1.4275788970000001</v>
      </c>
      <c r="E1405">
        <v>2</v>
      </c>
      <c r="F1405">
        <v>39</v>
      </c>
      <c r="G1405">
        <v>12</v>
      </c>
      <c r="H1405">
        <v>1</v>
      </c>
      <c r="I1405">
        <v>0</v>
      </c>
      <c r="J1405">
        <v>46.730945589999997</v>
      </c>
      <c r="K1405">
        <v>20.684770579999999</v>
      </c>
      <c r="L1405">
        <v>20.684770579999999</v>
      </c>
      <c r="M1405">
        <v>3.029397726</v>
      </c>
      <c r="N1405">
        <v>1</v>
      </c>
      <c r="O1405">
        <v>3.029397726</v>
      </c>
    </row>
    <row r="1406" spans="1:15">
      <c r="A1406">
        <v>1.938827729</v>
      </c>
      <c r="B1406">
        <v>-0.51384215700000002</v>
      </c>
      <c r="C1406">
        <v>0.96941386500000004</v>
      </c>
      <c r="D1406">
        <v>0.99878933700000005</v>
      </c>
      <c r="E1406">
        <v>3</v>
      </c>
      <c r="F1406">
        <v>34</v>
      </c>
      <c r="G1406">
        <v>12</v>
      </c>
      <c r="H1406">
        <v>0</v>
      </c>
      <c r="I1406">
        <v>0</v>
      </c>
      <c r="J1406">
        <v>34.585472109999998</v>
      </c>
      <c r="K1406">
        <v>31.432966230000002</v>
      </c>
      <c r="L1406">
        <v>31.432966230000002</v>
      </c>
      <c r="M1406">
        <v>3.4478571410000001</v>
      </c>
      <c r="N1406">
        <v>1</v>
      </c>
      <c r="O1406">
        <v>3.4478571410000001</v>
      </c>
    </row>
    <row r="1407" spans="1:15">
      <c r="A1407">
        <v>-0.61522832500000002</v>
      </c>
      <c r="B1407">
        <v>-1.277639768</v>
      </c>
      <c r="C1407">
        <v>-0.307614163</v>
      </c>
      <c r="D1407">
        <v>-1.340662536</v>
      </c>
      <c r="E1407">
        <v>4</v>
      </c>
      <c r="F1407">
        <v>36</v>
      </c>
      <c r="G1407">
        <v>12</v>
      </c>
      <c r="H1407">
        <v>0</v>
      </c>
      <c r="I1407">
        <v>2</v>
      </c>
      <c r="J1407">
        <v>17.312049869999999</v>
      </c>
      <c r="K1407">
        <v>16.508630749999998</v>
      </c>
      <c r="N1407">
        <v>0</v>
      </c>
      <c r="O1407">
        <v>0</v>
      </c>
    </row>
    <row r="1408" spans="1:15">
      <c r="A1408">
        <v>0.61445471399999996</v>
      </c>
      <c r="B1408">
        <v>-0.24329100300000001</v>
      </c>
      <c r="C1408">
        <v>0.30722735699999998</v>
      </c>
      <c r="D1408">
        <v>0.25937532099999999</v>
      </c>
      <c r="E1408">
        <v>5</v>
      </c>
      <c r="F1408">
        <v>41</v>
      </c>
      <c r="G1408">
        <v>16</v>
      </c>
      <c r="H1408">
        <v>1</v>
      </c>
      <c r="I1408">
        <v>0</v>
      </c>
      <c r="J1408">
        <v>36.512504579999998</v>
      </c>
      <c r="K1408">
        <v>28.886728290000001</v>
      </c>
      <c r="L1408">
        <v>28.886728290000001</v>
      </c>
      <c r="M1408">
        <v>3.3633823390000002</v>
      </c>
      <c r="N1408">
        <v>1</v>
      </c>
      <c r="O1408">
        <v>3.3633823390000002</v>
      </c>
    </row>
    <row r="1409" spans="1:15">
      <c r="A1409">
        <v>-0.739975402</v>
      </c>
      <c r="B1409">
        <v>-1.7280956300000001</v>
      </c>
      <c r="C1409">
        <v>-0.369987701</v>
      </c>
      <c r="D1409">
        <v>-1.7485038159999999</v>
      </c>
      <c r="E1409">
        <v>6</v>
      </c>
      <c r="F1409">
        <v>35</v>
      </c>
      <c r="G1409">
        <v>20</v>
      </c>
      <c r="H1409">
        <v>1</v>
      </c>
      <c r="I1409">
        <v>2</v>
      </c>
      <c r="J1409">
        <v>23.017953869999999</v>
      </c>
      <c r="K1409">
        <v>23.56014824</v>
      </c>
      <c r="N1409">
        <v>0</v>
      </c>
      <c r="O1409">
        <v>0</v>
      </c>
    </row>
    <row r="1410" spans="1:15">
      <c r="A1410">
        <v>-0.68914134500000002</v>
      </c>
      <c r="B1410">
        <v>0.27597423799999998</v>
      </c>
      <c r="C1410">
        <v>-0.34457067299999999</v>
      </c>
      <c r="D1410">
        <v>-0.28869138599999999</v>
      </c>
      <c r="E1410">
        <v>7</v>
      </c>
      <c r="F1410">
        <v>35</v>
      </c>
      <c r="G1410">
        <v>16</v>
      </c>
      <c r="H1410">
        <v>1</v>
      </c>
      <c r="I1410">
        <v>0</v>
      </c>
      <c r="J1410">
        <v>27.535703659999999</v>
      </c>
      <c r="K1410">
        <v>19.86515236</v>
      </c>
      <c r="N1410">
        <v>0</v>
      </c>
      <c r="O1410">
        <v>0</v>
      </c>
    </row>
    <row r="1411" spans="1:15">
      <c r="A1411">
        <v>1.095614995</v>
      </c>
      <c r="B1411">
        <v>1.5260075319999999</v>
      </c>
      <c r="C1411">
        <v>0.54780749699999998</v>
      </c>
      <c r="D1411">
        <v>1.8550873349999999</v>
      </c>
      <c r="E1411">
        <v>8</v>
      </c>
      <c r="F1411">
        <v>37</v>
      </c>
      <c r="G1411">
        <v>20</v>
      </c>
      <c r="H1411">
        <v>1</v>
      </c>
      <c r="I1411">
        <v>0</v>
      </c>
      <c r="J1411">
        <v>57.061046599999997</v>
      </c>
      <c r="K1411">
        <v>34.97369003</v>
      </c>
      <c r="L1411">
        <v>34.97369003</v>
      </c>
      <c r="M1411">
        <v>3.5545959470000001</v>
      </c>
      <c r="N1411">
        <v>1</v>
      </c>
      <c r="O1411">
        <v>3.5545959470000001</v>
      </c>
    </row>
    <row r="1412" spans="1:15">
      <c r="A1412">
        <v>0.43332635400000002</v>
      </c>
      <c r="B1412">
        <v>0.87856060000000002</v>
      </c>
      <c r="C1412">
        <v>0.21666317700000001</v>
      </c>
      <c r="D1412">
        <v>0.92912151200000004</v>
      </c>
      <c r="E1412">
        <v>9</v>
      </c>
      <c r="F1412">
        <v>40</v>
      </c>
      <c r="G1412">
        <v>16</v>
      </c>
      <c r="H1412">
        <v>1</v>
      </c>
      <c r="I1412">
        <v>2</v>
      </c>
      <c r="J1412">
        <v>54.149459839999999</v>
      </c>
      <c r="K1412">
        <v>27.59995842</v>
      </c>
      <c r="L1412">
        <v>27.59995842</v>
      </c>
      <c r="M1412">
        <v>3.3178143499999999</v>
      </c>
      <c r="N1412">
        <v>1</v>
      </c>
      <c r="O1412">
        <v>3.3178143499999999</v>
      </c>
    </row>
    <row r="1413" spans="1:15">
      <c r="A1413">
        <v>-0.45305991000000001</v>
      </c>
      <c r="B1413">
        <v>2.3176887060000002</v>
      </c>
      <c r="C1413">
        <v>-0.22652995500000001</v>
      </c>
      <c r="D1413">
        <v>1.328187298</v>
      </c>
      <c r="E1413">
        <v>0</v>
      </c>
      <c r="F1413">
        <v>34</v>
      </c>
      <c r="G1413">
        <v>10</v>
      </c>
      <c r="H1413">
        <v>0</v>
      </c>
      <c r="I1413">
        <v>0</v>
      </c>
      <c r="J1413">
        <v>37.038246149999999</v>
      </c>
      <c r="K1413">
        <v>15.08164024</v>
      </c>
      <c r="L1413">
        <v>15.08164024</v>
      </c>
      <c r="M1413">
        <v>2.713478088</v>
      </c>
      <c r="N1413">
        <v>1</v>
      </c>
      <c r="O1413">
        <v>2.713478088</v>
      </c>
    </row>
    <row r="1414" spans="1:15">
      <c r="A1414">
        <v>-0.16807351100000001</v>
      </c>
      <c r="B1414">
        <v>-0.305138046</v>
      </c>
      <c r="C1414">
        <v>-8.4036755000000005E-2</v>
      </c>
      <c r="D1414">
        <v>-0.33506037500000002</v>
      </c>
      <c r="E1414">
        <v>1</v>
      </c>
      <c r="F1414">
        <v>27</v>
      </c>
      <c r="G1414">
        <v>10</v>
      </c>
      <c r="H1414">
        <v>0</v>
      </c>
      <c r="I1414">
        <v>3</v>
      </c>
      <c r="J1414">
        <v>29.279275890000001</v>
      </c>
      <c r="K1414">
        <v>15.39155865</v>
      </c>
      <c r="L1414">
        <v>15.39155865</v>
      </c>
      <c r="M1414">
        <v>2.7338192459999999</v>
      </c>
      <c r="N1414">
        <v>1</v>
      </c>
      <c r="O1414">
        <v>2.7338192459999999</v>
      </c>
    </row>
    <row r="1415" spans="1:15">
      <c r="A1415">
        <v>-0.70565857700000001</v>
      </c>
      <c r="B1415">
        <v>-6.1040939000000002E-2</v>
      </c>
      <c r="C1415">
        <v>-0.35282928899999999</v>
      </c>
      <c r="D1415">
        <v>-0.53978707999999997</v>
      </c>
      <c r="E1415">
        <v>2</v>
      </c>
      <c r="F1415">
        <v>42</v>
      </c>
      <c r="G1415">
        <v>12</v>
      </c>
      <c r="H1415">
        <v>0</v>
      </c>
      <c r="I1415">
        <v>2</v>
      </c>
      <c r="J1415">
        <v>29.32255554</v>
      </c>
      <c r="K1415">
        <v>17.166048050000001</v>
      </c>
      <c r="L1415">
        <v>17.166048050000001</v>
      </c>
      <c r="M1415">
        <v>2.8429334160000002</v>
      </c>
      <c r="N1415">
        <v>1</v>
      </c>
      <c r="O1415">
        <v>2.8429334160000002</v>
      </c>
    </row>
    <row r="1416" spans="1:15">
      <c r="A1416">
        <v>0.56847270000000005</v>
      </c>
      <c r="B1416">
        <v>-0.78100812900000005</v>
      </c>
      <c r="C1416">
        <v>0.28423635000000003</v>
      </c>
      <c r="D1416">
        <v>-0.15506288100000001</v>
      </c>
      <c r="E1416">
        <v>3</v>
      </c>
      <c r="F1416">
        <v>32</v>
      </c>
      <c r="G1416">
        <v>16</v>
      </c>
      <c r="H1416">
        <v>0</v>
      </c>
      <c r="I1416">
        <v>2</v>
      </c>
      <c r="J1416">
        <v>32.939247129999998</v>
      </c>
      <c r="K1416">
        <v>26.81083679</v>
      </c>
      <c r="L1416">
        <v>26.81083679</v>
      </c>
      <c r="M1416">
        <v>3.2888061999999998</v>
      </c>
      <c r="N1416">
        <v>1</v>
      </c>
      <c r="O1416">
        <v>3.2888061999999998</v>
      </c>
    </row>
    <row r="1417" spans="1:15">
      <c r="A1417">
        <v>-3.3812377999999997E-2</v>
      </c>
      <c r="B1417">
        <v>0.98632091099999997</v>
      </c>
      <c r="C1417">
        <v>-1.6906188999999999E-2</v>
      </c>
      <c r="D1417">
        <v>0.67707378399999996</v>
      </c>
      <c r="E1417">
        <v>4</v>
      </c>
      <c r="F1417">
        <v>28</v>
      </c>
      <c r="G1417">
        <v>16</v>
      </c>
      <c r="H1417">
        <v>1</v>
      </c>
      <c r="I1417">
        <v>0</v>
      </c>
      <c r="J1417">
        <v>36.324886319999997</v>
      </c>
      <c r="K1417">
        <v>22.397125240000001</v>
      </c>
      <c r="L1417">
        <v>22.397125240000001</v>
      </c>
      <c r="M1417">
        <v>3.1089324949999999</v>
      </c>
      <c r="N1417">
        <v>1</v>
      </c>
      <c r="O1417">
        <v>3.1089324949999999</v>
      </c>
    </row>
    <row r="1418" spans="1:15">
      <c r="A1418">
        <v>-1.550716204</v>
      </c>
      <c r="B1418">
        <v>1.090582221</v>
      </c>
      <c r="C1418">
        <v>-0.77535810199999999</v>
      </c>
      <c r="D1418">
        <v>-0.31594293000000001</v>
      </c>
      <c r="E1418">
        <v>5</v>
      </c>
      <c r="F1418">
        <v>52</v>
      </c>
      <c r="G1418">
        <v>12</v>
      </c>
      <c r="H1418">
        <v>1</v>
      </c>
      <c r="I1418">
        <v>1</v>
      </c>
      <c r="J1418">
        <v>36.008686070000003</v>
      </c>
      <c r="K1418">
        <v>14.09570313</v>
      </c>
      <c r="L1418">
        <v>14.09570313</v>
      </c>
      <c r="M1418">
        <v>2.6458699700000001</v>
      </c>
      <c r="N1418">
        <v>1</v>
      </c>
      <c r="O1418">
        <v>2.6458699700000001</v>
      </c>
    </row>
    <row r="1419" spans="1:15">
      <c r="A1419">
        <v>0.91014630900000004</v>
      </c>
      <c r="B1419">
        <v>-0.161614862</v>
      </c>
      <c r="C1419">
        <v>0.45507315500000001</v>
      </c>
      <c r="D1419">
        <v>0.52542416400000003</v>
      </c>
      <c r="E1419">
        <v>6</v>
      </c>
      <c r="F1419">
        <v>43</v>
      </c>
      <c r="G1419">
        <v>16</v>
      </c>
      <c r="H1419">
        <v>1</v>
      </c>
      <c r="I1419">
        <v>0</v>
      </c>
      <c r="J1419">
        <v>40.505088809999997</v>
      </c>
      <c r="K1419">
        <v>31.060878750000001</v>
      </c>
      <c r="L1419">
        <v>31.060878750000001</v>
      </c>
      <c r="M1419">
        <v>3.435949087</v>
      </c>
      <c r="N1419">
        <v>1</v>
      </c>
      <c r="O1419">
        <v>3.435949087</v>
      </c>
    </row>
    <row r="1420" spans="1:15">
      <c r="A1420">
        <v>-1.157778966</v>
      </c>
      <c r="B1420">
        <v>-0.15718543900000001</v>
      </c>
      <c r="C1420">
        <v>-0.57888948299999998</v>
      </c>
      <c r="D1420">
        <v>-0.92616047099999999</v>
      </c>
      <c r="E1420">
        <v>7</v>
      </c>
      <c r="F1420">
        <v>39</v>
      </c>
      <c r="G1420">
        <v>10</v>
      </c>
      <c r="H1420">
        <v>1</v>
      </c>
      <c r="I1420">
        <v>0</v>
      </c>
      <c r="J1420">
        <v>16.98607445</v>
      </c>
      <c r="K1420">
        <v>11.85332584</v>
      </c>
      <c r="N1420">
        <v>0</v>
      </c>
      <c r="O1420">
        <v>0</v>
      </c>
    </row>
    <row r="1421" spans="1:15">
      <c r="A1421">
        <v>0.70959059199999996</v>
      </c>
      <c r="B1421">
        <v>-0.19252468</v>
      </c>
      <c r="C1421">
        <v>0.35479529599999998</v>
      </c>
      <c r="D1421">
        <v>0.36237449100000002</v>
      </c>
      <c r="E1421">
        <v>8</v>
      </c>
      <c r="F1421">
        <v>36</v>
      </c>
      <c r="G1421">
        <v>16</v>
      </c>
      <c r="H1421">
        <v>1</v>
      </c>
      <c r="I1421">
        <v>4</v>
      </c>
      <c r="J1421">
        <v>55.748493189999998</v>
      </c>
      <c r="K1421">
        <v>28.457544330000001</v>
      </c>
      <c r="L1421">
        <v>28.457544330000001</v>
      </c>
      <c r="M1421">
        <v>3.3484132290000002</v>
      </c>
      <c r="N1421">
        <v>1</v>
      </c>
      <c r="O1421">
        <v>3.3484132290000002</v>
      </c>
    </row>
    <row r="1422" spans="1:15">
      <c r="A1422">
        <v>0.22796111999999999</v>
      </c>
      <c r="B1422">
        <v>-1.374899E-3</v>
      </c>
      <c r="C1422">
        <v>0.11398055999999999</v>
      </c>
      <c r="D1422">
        <v>0.159387793</v>
      </c>
      <c r="E1422">
        <v>9</v>
      </c>
      <c r="F1422">
        <v>51</v>
      </c>
      <c r="G1422">
        <v>16</v>
      </c>
      <c r="H1422">
        <v>1</v>
      </c>
      <c r="I1422">
        <v>1</v>
      </c>
      <c r="J1422">
        <v>44.312652589999999</v>
      </c>
      <c r="K1422">
        <v>28.56776619</v>
      </c>
      <c r="L1422">
        <v>28.56776619</v>
      </c>
      <c r="M1422">
        <v>3.3522789479999999</v>
      </c>
      <c r="N1422">
        <v>1</v>
      </c>
      <c r="O1422">
        <v>3.3522789479999999</v>
      </c>
    </row>
    <row r="1423" spans="1:15">
      <c r="A1423">
        <v>1.8410674629999999</v>
      </c>
      <c r="B1423">
        <v>1.5244852149999999</v>
      </c>
      <c r="C1423">
        <v>0.92053373100000002</v>
      </c>
      <c r="D1423">
        <v>2.3784121919999999</v>
      </c>
      <c r="E1423">
        <v>0</v>
      </c>
      <c r="F1423">
        <v>34</v>
      </c>
      <c r="G1423">
        <v>10</v>
      </c>
      <c r="H1423">
        <v>1</v>
      </c>
      <c r="I1423">
        <v>3</v>
      </c>
      <c r="J1423">
        <v>69.640945430000002</v>
      </c>
      <c r="K1423">
        <v>28.84640503</v>
      </c>
      <c r="L1423">
        <v>28.84640503</v>
      </c>
      <c r="M1423">
        <v>3.3619854450000002</v>
      </c>
      <c r="N1423">
        <v>1</v>
      </c>
      <c r="O1423">
        <v>3.3619854450000002</v>
      </c>
    </row>
    <row r="1424" spans="1:15">
      <c r="A1424">
        <v>1.6245949390000001</v>
      </c>
      <c r="B1424">
        <v>-0.41335792900000001</v>
      </c>
      <c r="C1424">
        <v>0.81229746899999999</v>
      </c>
      <c r="D1424">
        <v>0.84913675799999999</v>
      </c>
      <c r="E1424">
        <v>1</v>
      </c>
      <c r="F1424">
        <v>34</v>
      </c>
      <c r="G1424">
        <v>10</v>
      </c>
      <c r="H1424">
        <v>1</v>
      </c>
      <c r="I1424">
        <v>0</v>
      </c>
      <c r="J1424">
        <v>36.28964233</v>
      </c>
      <c r="K1424">
        <v>27.54756927</v>
      </c>
      <c r="L1424">
        <v>27.54756927</v>
      </c>
      <c r="M1424">
        <v>3.3159143919999998</v>
      </c>
      <c r="N1424">
        <v>1</v>
      </c>
      <c r="O1424">
        <v>3.3159143919999998</v>
      </c>
    </row>
    <row r="1425" spans="1:15">
      <c r="A1425">
        <v>-0.44856468199999999</v>
      </c>
      <c r="B1425">
        <v>0.19720802500000001</v>
      </c>
      <c r="C1425">
        <v>-0.224282341</v>
      </c>
      <c r="D1425">
        <v>-0.17542160400000001</v>
      </c>
      <c r="E1425">
        <v>2</v>
      </c>
      <c r="F1425">
        <v>29</v>
      </c>
      <c r="G1425">
        <v>12</v>
      </c>
      <c r="H1425">
        <v>1</v>
      </c>
      <c r="I1425">
        <v>0</v>
      </c>
      <c r="J1425">
        <v>23.494939800000001</v>
      </c>
      <c r="K1425">
        <v>16.108612059999999</v>
      </c>
      <c r="N1425">
        <v>0</v>
      </c>
      <c r="O1425">
        <v>0</v>
      </c>
    </row>
    <row r="1426" spans="1:15">
      <c r="A1426">
        <v>1.1068150919999999</v>
      </c>
      <c r="B1426">
        <v>-1.163375402</v>
      </c>
      <c r="C1426">
        <v>0.55340754599999997</v>
      </c>
      <c r="D1426">
        <v>-4.8055432000000002E-2</v>
      </c>
      <c r="E1426">
        <v>3</v>
      </c>
      <c r="F1426">
        <v>29</v>
      </c>
      <c r="G1426">
        <v>10</v>
      </c>
      <c r="H1426">
        <v>0</v>
      </c>
      <c r="I1426">
        <v>1</v>
      </c>
      <c r="J1426">
        <v>23.523334500000001</v>
      </c>
      <c r="K1426">
        <v>23.440891270000002</v>
      </c>
      <c r="N1426">
        <v>0</v>
      </c>
      <c r="O1426">
        <v>0</v>
      </c>
    </row>
    <row r="1427" spans="1:15">
      <c r="A1427">
        <v>-0.25624998900000001</v>
      </c>
      <c r="B1427">
        <v>-0.81013965700000001</v>
      </c>
      <c r="C1427">
        <v>-0.12812499399999999</v>
      </c>
      <c r="D1427">
        <v>-0.755934302</v>
      </c>
      <c r="E1427">
        <v>4</v>
      </c>
      <c r="F1427">
        <v>30</v>
      </c>
      <c r="G1427">
        <v>10</v>
      </c>
      <c r="H1427">
        <v>0</v>
      </c>
      <c r="I1427">
        <v>3</v>
      </c>
      <c r="J1427">
        <v>25.428789139999999</v>
      </c>
      <c r="K1427">
        <v>15.462499619999999</v>
      </c>
      <c r="N1427">
        <v>0</v>
      </c>
      <c r="O1427">
        <v>0</v>
      </c>
    </row>
    <row r="1428" spans="1:15">
      <c r="A1428">
        <v>1.0781591159999999</v>
      </c>
      <c r="B1428">
        <v>-1.2014715899999999</v>
      </c>
      <c r="C1428">
        <v>0.53907955799999996</v>
      </c>
      <c r="D1428">
        <v>-9.5284562000000003E-2</v>
      </c>
      <c r="E1428">
        <v>5</v>
      </c>
      <c r="F1428">
        <v>36</v>
      </c>
      <c r="G1428">
        <v>12</v>
      </c>
      <c r="H1428">
        <v>1</v>
      </c>
      <c r="I1428">
        <v>0</v>
      </c>
      <c r="J1428">
        <v>27.256586070000001</v>
      </c>
      <c r="K1428">
        <v>26.668954849999999</v>
      </c>
      <c r="N1428">
        <v>0</v>
      </c>
      <c r="O1428">
        <v>0</v>
      </c>
    </row>
    <row r="1429" spans="1:15">
      <c r="A1429">
        <v>0.60687993799999995</v>
      </c>
      <c r="B1429">
        <v>-2.4454693999999999E-2</v>
      </c>
      <c r="C1429">
        <v>0.30343996899999998</v>
      </c>
      <c r="D1429">
        <v>0.409547367</v>
      </c>
      <c r="E1429">
        <v>6</v>
      </c>
      <c r="F1429">
        <v>41</v>
      </c>
      <c r="G1429">
        <v>12</v>
      </c>
      <c r="H1429">
        <v>1</v>
      </c>
      <c r="I1429">
        <v>3</v>
      </c>
      <c r="J1429">
        <v>50.314567570000001</v>
      </c>
      <c r="K1429">
        <v>24.841279979999999</v>
      </c>
      <c r="L1429">
        <v>24.841279979999999</v>
      </c>
      <c r="M1429">
        <v>3.2125067710000001</v>
      </c>
      <c r="N1429">
        <v>1</v>
      </c>
      <c r="O1429">
        <v>3.2125067710000001</v>
      </c>
    </row>
    <row r="1430" spans="1:15">
      <c r="A1430">
        <v>-0.139338299</v>
      </c>
      <c r="B1430">
        <v>4.5441884000000002E-2</v>
      </c>
      <c r="C1430">
        <v>-6.9669149999999999E-2</v>
      </c>
      <c r="D1430">
        <v>-6.5730805000000003E-2</v>
      </c>
      <c r="E1430">
        <v>7</v>
      </c>
      <c r="F1430">
        <v>37</v>
      </c>
      <c r="G1430">
        <v>16</v>
      </c>
      <c r="H1430">
        <v>1</v>
      </c>
      <c r="I1430">
        <v>1</v>
      </c>
      <c r="J1430">
        <v>36.011230470000001</v>
      </c>
      <c r="K1430">
        <v>23.563970569999999</v>
      </c>
      <c r="L1430">
        <v>23.563970569999999</v>
      </c>
      <c r="M1430">
        <v>3.15971899</v>
      </c>
      <c r="N1430">
        <v>1</v>
      </c>
      <c r="O1430">
        <v>3.15971899</v>
      </c>
    </row>
    <row r="1431" spans="1:15">
      <c r="A1431">
        <v>-0.43897568199999998</v>
      </c>
      <c r="B1431">
        <v>0.80097338299999998</v>
      </c>
      <c r="C1431">
        <v>-0.21948784099999999</v>
      </c>
      <c r="D1431">
        <v>0.26034760299999998</v>
      </c>
      <c r="E1431">
        <v>8</v>
      </c>
      <c r="F1431">
        <v>38</v>
      </c>
      <c r="G1431">
        <v>16</v>
      </c>
      <c r="H1431">
        <v>1</v>
      </c>
      <c r="I1431">
        <v>0</v>
      </c>
      <c r="J1431">
        <v>35.324172969999999</v>
      </c>
      <c r="K1431">
        <v>21.966146470000002</v>
      </c>
      <c r="L1431">
        <v>21.966146470000002</v>
      </c>
      <c r="M1431">
        <v>3.0895025729999999</v>
      </c>
      <c r="N1431">
        <v>1</v>
      </c>
      <c r="O1431">
        <v>3.0895025729999999</v>
      </c>
    </row>
    <row r="1432" spans="1:15">
      <c r="A1432">
        <v>-2.0726845319999998</v>
      </c>
      <c r="B1432">
        <v>7.2071534000000007E-2</v>
      </c>
      <c r="C1432">
        <v>-1.0363422659999999</v>
      </c>
      <c r="D1432">
        <v>-1.4068675180000001</v>
      </c>
      <c r="E1432">
        <v>9</v>
      </c>
      <c r="F1432">
        <v>48</v>
      </c>
      <c r="G1432">
        <v>16</v>
      </c>
      <c r="H1432">
        <v>1</v>
      </c>
      <c r="I1432">
        <v>5</v>
      </c>
      <c r="J1432">
        <v>44.317588809999997</v>
      </c>
      <c r="K1432">
        <v>14.16389275</v>
      </c>
      <c r="L1432">
        <v>14.16389275</v>
      </c>
      <c r="M1432">
        <v>2.6506960390000001</v>
      </c>
      <c r="N1432">
        <v>1</v>
      </c>
      <c r="O1432">
        <v>2.6506960390000001</v>
      </c>
    </row>
    <row r="1433" spans="1:15">
      <c r="A1433">
        <v>0.45656233699999998</v>
      </c>
      <c r="B1433">
        <v>-2.0215120080000002</v>
      </c>
      <c r="C1433">
        <v>0.22828116900000001</v>
      </c>
      <c r="D1433">
        <v>-1.11526619</v>
      </c>
      <c r="E1433">
        <v>0</v>
      </c>
      <c r="F1433">
        <v>32</v>
      </c>
      <c r="G1433">
        <v>10</v>
      </c>
      <c r="H1433">
        <v>1</v>
      </c>
      <c r="I1433">
        <v>1</v>
      </c>
      <c r="J1433">
        <v>16.916805270000001</v>
      </c>
      <c r="K1433">
        <v>20.13937378</v>
      </c>
      <c r="N1433">
        <v>0</v>
      </c>
      <c r="O1433">
        <v>0</v>
      </c>
    </row>
    <row r="1434" spans="1:15">
      <c r="A1434">
        <v>-2.1078771120000002</v>
      </c>
      <c r="B1434">
        <v>0.20689786299999999</v>
      </c>
      <c r="C1434">
        <v>-1.0539385560000001</v>
      </c>
      <c r="D1434">
        <v>-1.335819697</v>
      </c>
      <c r="E1434">
        <v>1</v>
      </c>
      <c r="F1434">
        <v>25</v>
      </c>
      <c r="G1434">
        <v>10</v>
      </c>
      <c r="H1434">
        <v>0</v>
      </c>
      <c r="I1434">
        <v>1</v>
      </c>
      <c r="J1434">
        <v>6.470163822</v>
      </c>
      <c r="K1434">
        <v>3.3527374270000001</v>
      </c>
      <c r="N1434">
        <v>0</v>
      </c>
      <c r="O1434">
        <v>0</v>
      </c>
    </row>
    <row r="1435" spans="1:15">
      <c r="A1435">
        <v>-0.29644773299999999</v>
      </c>
      <c r="B1435">
        <v>-0.60549746699999996</v>
      </c>
      <c r="C1435">
        <v>-0.14822386700000001</v>
      </c>
      <c r="D1435">
        <v>-0.63879772899999998</v>
      </c>
      <c r="E1435">
        <v>2</v>
      </c>
      <c r="F1435">
        <v>26</v>
      </c>
      <c r="G1435">
        <v>10</v>
      </c>
      <c r="H1435">
        <v>0</v>
      </c>
      <c r="I1435">
        <v>1</v>
      </c>
      <c r="J1435">
        <v>15.23442745</v>
      </c>
      <c r="K1435">
        <v>14.421313290000001</v>
      </c>
      <c r="N1435">
        <v>0</v>
      </c>
      <c r="O1435">
        <v>0</v>
      </c>
    </row>
    <row r="1436" spans="1:15">
      <c r="A1436">
        <v>0.59907401400000004</v>
      </c>
      <c r="B1436">
        <v>0.956938705</v>
      </c>
      <c r="C1436">
        <v>0.29953700700000002</v>
      </c>
      <c r="D1436">
        <v>1.1014146309999999</v>
      </c>
      <c r="E1436">
        <v>3</v>
      </c>
      <c r="F1436">
        <v>30</v>
      </c>
      <c r="G1436">
        <v>12</v>
      </c>
      <c r="H1436">
        <v>0</v>
      </c>
      <c r="I1436">
        <v>0</v>
      </c>
      <c r="J1436">
        <v>34.216976170000002</v>
      </c>
      <c r="K1436">
        <v>22.59444427</v>
      </c>
      <c r="L1436">
        <v>22.59444427</v>
      </c>
      <c r="M1436">
        <v>3.117704153</v>
      </c>
      <c r="N1436">
        <v>1</v>
      </c>
      <c r="O1436">
        <v>3.117704153</v>
      </c>
    </row>
    <row r="1437" spans="1:15">
      <c r="A1437">
        <v>-0.91834966600000001</v>
      </c>
      <c r="B1437">
        <v>-0.33988093800000002</v>
      </c>
      <c r="C1437">
        <v>-0.459174833</v>
      </c>
      <c r="D1437">
        <v>-0.88754790400000005</v>
      </c>
      <c r="E1437">
        <v>4</v>
      </c>
      <c r="F1437">
        <v>48</v>
      </c>
      <c r="G1437">
        <v>12</v>
      </c>
      <c r="H1437">
        <v>1</v>
      </c>
      <c r="I1437">
        <v>2</v>
      </c>
      <c r="J1437">
        <v>32.549427029999997</v>
      </c>
      <c r="K1437">
        <v>17.08990288</v>
      </c>
      <c r="L1437">
        <v>17.08990288</v>
      </c>
      <c r="M1437">
        <v>2.8384878640000002</v>
      </c>
      <c r="N1437">
        <v>1</v>
      </c>
      <c r="O1437">
        <v>2.8384878640000002</v>
      </c>
    </row>
    <row r="1438" spans="1:15">
      <c r="A1438">
        <v>0.61304658000000001</v>
      </c>
      <c r="B1438">
        <v>1.8433296429999999</v>
      </c>
      <c r="C1438">
        <v>0.30652329</v>
      </c>
      <c r="D1438">
        <v>1.7410956500000001</v>
      </c>
      <c r="E1438">
        <v>5</v>
      </c>
      <c r="F1438">
        <v>53</v>
      </c>
      <c r="G1438">
        <v>20</v>
      </c>
      <c r="H1438">
        <v>1</v>
      </c>
      <c r="I1438">
        <v>0</v>
      </c>
      <c r="J1438">
        <v>62.093147279999997</v>
      </c>
      <c r="K1438">
        <v>35.278278350000001</v>
      </c>
      <c r="L1438">
        <v>35.278278350000001</v>
      </c>
      <c r="M1438">
        <v>3.5632674689999999</v>
      </c>
      <c r="N1438">
        <v>1</v>
      </c>
      <c r="O1438">
        <v>3.5632674689999999</v>
      </c>
    </row>
    <row r="1439" spans="1:15">
      <c r="A1439">
        <v>-0.49995230400000001</v>
      </c>
      <c r="B1439">
        <v>1.112042186</v>
      </c>
      <c r="C1439">
        <v>-0.24997615200000001</v>
      </c>
      <c r="D1439">
        <v>0.43849139500000001</v>
      </c>
      <c r="E1439">
        <v>6</v>
      </c>
      <c r="F1439">
        <v>35</v>
      </c>
      <c r="G1439">
        <v>12</v>
      </c>
      <c r="H1439">
        <v>1</v>
      </c>
      <c r="I1439">
        <v>2</v>
      </c>
      <c r="J1439">
        <v>43.261898039999998</v>
      </c>
      <c r="K1439">
        <v>17.0002861</v>
      </c>
      <c r="L1439">
        <v>17.0002861</v>
      </c>
      <c r="M1439">
        <v>2.8332302569999999</v>
      </c>
      <c r="N1439">
        <v>1</v>
      </c>
      <c r="O1439">
        <v>2.8332302569999999</v>
      </c>
    </row>
    <row r="1440" spans="1:15">
      <c r="A1440">
        <v>-0.68368364500000001</v>
      </c>
      <c r="B1440">
        <v>0.19728573499999999</v>
      </c>
      <c r="C1440">
        <v>-0.34184182299999999</v>
      </c>
      <c r="D1440">
        <v>-0.34076651099999999</v>
      </c>
      <c r="E1440">
        <v>7</v>
      </c>
      <c r="F1440">
        <v>39</v>
      </c>
      <c r="G1440">
        <v>16</v>
      </c>
      <c r="H1440">
        <v>1</v>
      </c>
      <c r="I1440">
        <v>1</v>
      </c>
      <c r="J1440">
        <v>33.51080322</v>
      </c>
      <c r="K1440">
        <v>20.697898859999999</v>
      </c>
      <c r="L1440">
        <v>20.697898859999999</v>
      </c>
      <c r="M1440">
        <v>3.030032158</v>
      </c>
      <c r="N1440">
        <v>1</v>
      </c>
      <c r="O1440">
        <v>3.030032158</v>
      </c>
    </row>
    <row r="1441" spans="1:15">
      <c r="A1441">
        <v>-1.298688112</v>
      </c>
      <c r="B1441">
        <v>1.787554085</v>
      </c>
      <c r="C1441">
        <v>-0.649344056</v>
      </c>
      <c r="D1441">
        <v>0.35660660500000002</v>
      </c>
      <c r="E1441">
        <v>8</v>
      </c>
      <c r="F1441">
        <v>43</v>
      </c>
      <c r="G1441">
        <v>12</v>
      </c>
      <c r="H1441">
        <v>1</v>
      </c>
      <c r="I1441">
        <v>0</v>
      </c>
      <c r="J1441">
        <v>35.479278559999997</v>
      </c>
      <c r="K1441">
        <v>13.80787086</v>
      </c>
      <c r="L1441">
        <v>13.80787086</v>
      </c>
      <c r="M1441">
        <v>2.6252388949999999</v>
      </c>
      <c r="N1441">
        <v>1</v>
      </c>
      <c r="O1441">
        <v>2.6252388949999999</v>
      </c>
    </row>
    <row r="1442" spans="1:15">
      <c r="A1442">
        <v>-0.31199022999999998</v>
      </c>
      <c r="B1442">
        <v>0.64551530000000001</v>
      </c>
      <c r="C1442">
        <v>-0.15599511499999999</v>
      </c>
      <c r="D1442">
        <v>0.23921318699999999</v>
      </c>
      <c r="E1442">
        <v>9</v>
      </c>
      <c r="F1442">
        <v>38</v>
      </c>
      <c r="G1442">
        <v>12</v>
      </c>
      <c r="H1442">
        <v>1</v>
      </c>
      <c r="I1442">
        <v>0</v>
      </c>
      <c r="J1442">
        <v>32.07055664</v>
      </c>
      <c r="K1442">
        <v>18.72805786</v>
      </c>
      <c r="L1442">
        <v>18.72805786</v>
      </c>
      <c r="M1442">
        <v>2.9300227169999999</v>
      </c>
      <c r="N1442">
        <v>1</v>
      </c>
      <c r="O1442">
        <v>2.9300227169999999</v>
      </c>
    </row>
    <row r="1443" spans="1:15">
      <c r="A1443">
        <v>-0.274693786</v>
      </c>
      <c r="B1443">
        <v>0.33677942700000002</v>
      </c>
      <c r="C1443">
        <v>-0.137346893</v>
      </c>
      <c r="D1443">
        <v>4.6068734E-2</v>
      </c>
      <c r="E1443">
        <v>0</v>
      </c>
      <c r="F1443">
        <v>25</v>
      </c>
      <c r="G1443">
        <v>10</v>
      </c>
      <c r="H1443">
        <v>0</v>
      </c>
      <c r="I1443">
        <v>2</v>
      </c>
      <c r="J1443">
        <v>28.052824019999999</v>
      </c>
      <c r="K1443">
        <v>14.351837160000001</v>
      </c>
      <c r="N1443">
        <v>0</v>
      </c>
      <c r="O1443">
        <v>0</v>
      </c>
    </row>
    <row r="1444" spans="1:15">
      <c r="A1444">
        <v>1.1498018210000001</v>
      </c>
      <c r="B1444">
        <v>0.58915929499999997</v>
      </c>
      <c r="C1444">
        <v>0.57490091099999996</v>
      </c>
      <c r="D1444">
        <v>1.2275007419999999</v>
      </c>
      <c r="E1444">
        <v>1</v>
      </c>
      <c r="F1444">
        <v>28</v>
      </c>
      <c r="G1444">
        <v>16</v>
      </c>
      <c r="H1444">
        <v>0</v>
      </c>
      <c r="I1444">
        <v>0</v>
      </c>
      <c r="J1444">
        <v>37.930007930000002</v>
      </c>
      <c r="K1444">
        <v>29.498811719999999</v>
      </c>
      <c r="L1444">
        <v>29.498811719999999</v>
      </c>
      <c r="M1444">
        <v>3.3843500610000001</v>
      </c>
      <c r="N1444">
        <v>1</v>
      </c>
      <c r="O1444">
        <v>3.3843500610000001</v>
      </c>
    </row>
    <row r="1445" spans="1:15">
      <c r="A1445">
        <v>-1.510036014</v>
      </c>
      <c r="B1445">
        <v>1.206148309</v>
      </c>
      <c r="C1445">
        <v>-0.75501800699999999</v>
      </c>
      <c r="D1445">
        <v>-0.20520651400000001</v>
      </c>
      <c r="E1445">
        <v>2</v>
      </c>
      <c r="F1445">
        <v>24</v>
      </c>
      <c r="G1445">
        <v>10</v>
      </c>
      <c r="H1445">
        <v>0</v>
      </c>
      <c r="I1445">
        <v>3</v>
      </c>
      <c r="J1445">
        <v>29.63752174</v>
      </c>
      <c r="K1445">
        <v>6.7397837640000002</v>
      </c>
      <c r="L1445">
        <v>6.7397837640000002</v>
      </c>
      <c r="M1445">
        <v>1.908027887</v>
      </c>
      <c r="N1445">
        <v>1</v>
      </c>
      <c r="O1445">
        <v>1.908027887</v>
      </c>
    </row>
    <row r="1446" spans="1:15">
      <c r="A1446">
        <v>1.636475573</v>
      </c>
      <c r="B1446">
        <v>-0.61393750899999999</v>
      </c>
      <c r="C1446">
        <v>0.81823778700000005</v>
      </c>
      <c r="D1446">
        <v>0.71496663699999996</v>
      </c>
      <c r="E1446">
        <v>3</v>
      </c>
      <c r="F1446">
        <v>44</v>
      </c>
      <c r="G1446">
        <v>10</v>
      </c>
      <c r="H1446">
        <v>0</v>
      </c>
      <c r="I1446">
        <v>2</v>
      </c>
      <c r="J1446">
        <v>43.679599760000002</v>
      </c>
      <c r="K1446">
        <v>29.618852619999998</v>
      </c>
      <c r="L1446">
        <v>29.618852619999998</v>
      </c>
      <c r="M1446">
        <v>3.3884110449999998</v>
      </c>
      <c r="N1446">
        <v>1</v>
      </c>
      <c r="O1446">
        <v>3.3884110449999998</v>
      </c>
    </row>
    <row r="1447" spans="1:15">
      <c r="A1447">
        <v>1.1739432249999999</v>
      </c>
      <c r="B1447">
        <v>0.57089024899999996</v>
      </c>
      <c r="C1447">
        <v>0.586971613</v>
      </c>
      <c r="D1447">
        <v>1.2315019780000001</v>
      </c>
      <c r="E1447">
        <v>4</v>
      </c>
      <c r="F1447">
        <v>39</v>
      </c>
      <c r="G1447">
        <v>10</v>
      </c>
      <c r="H1447">
        <v>1</v>
      </c>
      <c r="I1447">
        <v>4</v>
      </c>
      <c r="J1447">
        <v>62.878025049999998</v>
      </c>
      <c r="K1447">
        <v>25.84365845</v>
      </c>
      <c r="L1447">
        <v>25.84365845</v>
      </c>
      <c r="M1447">
        <v>3.2520651819999999</v>
      </c>
      <c r="N1447">
        <v>1</v>
      </c>
      <c r="O1447">
        <v>3.2520651819999999</v>
      </c>
    </row>
    <row r="1448" spans="1:15">
      <c r="A1448">
        <v>-1.867317396</v>
      </c>
      <c r="B1448">
        <v>-0.28181795999999998</v>
      </c>
      <c r="C1448">
        <v>-0.93365869800000001</v>
      </c>
      <c r="D1448">
        <v>-1.5138638339999999</v>
      </c>
      <c r="E1448">
        <v>5</v>
      </c>
      <c r="F1448">
        <v>30</v>
      </c>
      <c r="G1448">
        <v>10</v>
      </c>
      <c r="H1448">
        <v>1</v>
      </c>
      <c r="I1448">
        <v>0</v>
      </c>
      <c r="J1448">
        <v>6.3336338999999997</v>
      </c>
      <c r="K1448">
        <v>5.7960958480000002</v>
      </c>
      <c r="N1448">
        <v>0</v>
      </c>
      <c r="O1448">
        <v>0</v>
      </c>
    </row>
    <row r="1449" spans="1:15">
      <c r="A1449">
        <v>-0.71057108199999997</v>
      </c>
      <c r="B1449">
        <v>-1.163204151</v>
      </c>
      <c r="C1449">
        <v>-0.35528554099999998</v>
      </c>
      <c r="D1449">
        <v>-1.326418044</v>
      </c>
      <c r="E1449">
        <v>6</v>
      </c>
      <c r="F1449">
        <v>32</v>
      </c>
      <c r="G1449">
        <v>12</v>
      </c>
      <c r="H1449">
        <v>1</v>
      </c>
      <c r="I1449">
        <v>3</v>
      </c>
      <c r="J1449">
        <v>25.882984159999999</v>
      </c>
      <c r="K1449">
        <v>15.13657379</v>
      </c>
      <c r="N1449">
        <v>0</v>
      </c>
      <c r="O1449">
        <v>0</v>
      </c>
    </row>
    <row r="1450" spans="1:15">
      <c r="A1450">
        <v>0.93962995900000001</v>
      </c>
      <c r="B1450">
        <v>-7.7389301999999993E-2</v>
      </c>
      <c r="C1450">
        <v>0.46981497999999999</v>
      </c>
      <c r="D1450">
        <v>0.60601415000000003</v>
      </c>
      <c r="E1450">
        <v>7</v>
      </c>
      <c r="F1450">
        <v>37</v>
      </c>
      <c r="G1450">
        <v>16</v>
      </c>
      <c r="H1450">
        <v>1</v>
      </c>
      <c r="I1450">
        <v>1</v>
      </c>
      <c r="J1450">
        <v>44.07217026</v>
      </c>
      <c r="K1450">
        <v>30.037778849999999</v>
      </c>
      <c r="L1450">
        <v>30.037778849999999</v>
      </c>
      <c r="M1450">
        <v>3.4024558069999999</v>
      </c>
      <c r="N1450">
        <v>1</v>
      </c>
      <c r="O1450">
        <v>3.4024558069999999</v>
      </c>
    </row>
    <row r="1451" spans="1:15">
      <c r="A1451">
        <v>0.59863884199999995</v>
      </c>
      <c r="B1451">
        <v>-0.34308748300000003</v>
      </c>
      <c r="C1451">
        <v>0.29931942099999997</v>
      </c>
      <c r="D1451">
        <v>0.177335879</v>
      </c>
      <c r="E1451">
        <v>8</v>
      </c>
      <c r="F1451">
        <v>46</v>
      </c>
      <c r="G1451">
        <v>16</v>
      </c>
      <c r="H1451">
        <v>1</v>
      </c>
      <c r="I1451">
        <v>1</v>
      </c>
      <c r="J1451">
        <v>42.528030399999999</v>
      </c>
      <c r="K1451">
        <v>29.791833879999999</v>
      </c>
      <c r="L1451">
        <v>29.791833879999999</v>
      </c>
      <c r="M1451">
        <v>3.394234419</v>
      </c>
      <c r="N1451">
        <v>1</v>
      </c>
      <c r="O1451">
        <v>3.394234419</v>
      </c>
    </row>
    <row r="1452" spans="1:15">
      <c r="A1452">
        <v>6.8154949000000006E-2</v>
      </c>
      <c r="B1452">
        <v>2.937975727</v>
      </c>
      <c r="C1452">
        <v>3.4077475000000003E-2</v>
      </c>
      <c r="D1452">
        <v>2.135612064</v>
      </c>
      <c r="E1452">
        <v>9</v>
      </c>
      <c r="F1452">
        <v>54</v>
      </c>
      <c r="G1452">
        <v>20</v>
      </c>
      <c r="H1452">
        <v>1</v>
      </c>
      <c r="I1452">
        <v>0</v>
      </c>
      <c r="J1452">
        <v>67.227348329999998</v>
      </c>
      <c r="K1452">
        <v>32.208930969999997</v>
      </c>
      <c r="L1452">
        <v>32.208930969999997</v>
      </c>
      <c r="M1452">
        <v>3.4722437859999999</v>
      </c>
      <c r="N1452">
        <v>1</v>
      </c>
      <c r="O1452">
        <v>3.4722437859999999</v>
      </c>
    </row>
    <row r="1453" spans="1:15">
      <c r="A1453">
        <v>-0.47719769400000001</v>
      </c>
      <c r="B1453">
        <v>-0.79541432300000003</v>
      </c>
      <c r="C1453">
        <v>-0.238598847</v>
      </c>
      <c r="D1453">
        <v>-0.90090178600000004</v>
      </c>
      <c r="E1453">
        <v>0</v>
      </c>
      <c r="F1453">
        <v>29</v>
      </c>
      <c r="G1453">
        <v>10</v>
      </c>
      <c r="H1453">
        <v>0</v>
      </c>
      <c r="I1453">
        <v>0</v>
      </c>
      <c r="J1453">
        <v>8.2891788480000006</v>
      </c>
      <c r="K1453">
        <v>13.936814310000001</v>
      </c>
      <c r="N1453">
        <v>0</v>
      </c>
      <c r="O1453">
        <v>0</v>
      </c>
    </row>
    <row r="1454" spans="1:15">
      <c r="A1454">
        <v>1.314865618</v>
      </c>
      <c r="B1454">
        <v>1.9728049480000001</v>
      </c>
      <c r="C1454">
        <v>0.65743280900000001</v>
      </c>
      <c r="D1454">
        <v>2.3268098049999999</v>
      </c>
      <c r="E1454">
        <v>1</v>
      </c>
      <c r="F1454">
        <v>25</v>
      </c>
      <c r="G1454">
        <v>16</v>
      </c>
      <c r="H1454">
        <v>1</v>
      </c>
      <c r="I1454">
        <v>0</v>
      </c>
      <c r="J1454">
        <v>54.921718599999998</v>
      </c>
      <c r="K1454">
        <v>29.889194490000001</v>
      </c>
      <c r="L1454">
        <v>29.889194490000001</v>
      </c>
      <c r="M1454">
        <v>3.3974969389999998</v>
      </c>
      <c r="N1454">
        <v>1</v>
      </c>
      <c r="O1454">
        <v>3.3974969389999998</v>
      </c>
    </row>
    <row r="1455" spans="1:15">
      <c r="A1455">
        <v>0.51812086899999998</v>
      </c>
      <c r="B1455">
        <v>0.16790728299999999</v>
      </c>
      <c r="C1455">
        <v>0.25906043400000001</v>
      </c>
      <c r="D1455">
        <v>0.483796226</v>
      </c>
      <c r="E1455">
        <v>2</v>
      </c>
      <c r="F1455">
        <v>26</v>
      </c>
      <c r="G1455">
        <v>10</v>
      </c>
      <c r="H1455">
        <v>0</v>
      </c>
      <c r="I1455">
        <v>2</v>
      </c>
      <c r="J1455">
        <v>33.705554960000001</v>
      </c>
      <c r="K1455">
        <v>19.30872536</v>
      </c>
      <c r="L1455">
        <v>19.30872536</v>
      </c>
      <c r="M1455">
        <v>2.9605569840000001</v>
      </c>
      <c r="N1455">
        <v>1</v>
      </c>
      <c r="O1455">
        <v>2.9605569840000001</v>
      </c>
    </row>
    <row r="1456" spans="1:15">
      <c r="A1456">
        <v>-4.8188579999999996E-3</v>
      </c>
      <c r="B1456">
        <v>5.7352946000000002E-2</v>
      </c>
      <c r="C1456">
        <v>-2.4094289999999998E-3</v>
      </c>
      <c r="D1456">
        <v>3.7363913999999998E-2</v>
      </c>
      <c r="E1456">
        <v>3</v>
      </c>
      <c r="F1456">
        <v>34</v>
      </c>
      <c r="G1456">
        <v>10</v>
      </c>
      <c r="H1456">
        <v>0</v>
      </c>
      <c r="I1456">
        <v>2</v>
      </c>
      <c r="J1456">
        <v>31.548366550000001</v>
      </c>
      <c r="K1456">
        <v>17.771087649999998</v>
      </c>
      <c r="L1456">
        <v>17.771087649999998</v>
      </c>
      <c r="M1456">
        <v>2.877572775</v>
      </c>
      <c r="N1456">
        <v>1</v>
      </c>
      <c r="O1456">
        <v>2.877572775</v>
      </c>
    </row>
    <row r="1457" spans="1:15">
      <c r="A1457">
        <v>-0.64163892899999997</v>
      </c>
      <c r="B1457">
        <v>1.948091641</v>
      </c>
      <c r="C1457">
        <v>-0.320819464</v>
      </c>
      <c r="D1457">
        <v>0.93289853700000003</v>
      </c>
      <c r="E1457">
        <v>4</v>
      </c>
      <c r="F1457">
        <v>37</v>
      </c>
      <c r="G1457">
        <v>10</v>
      </c>
      <c r="H1457">
        <v>1</v>
      </c>
      <c r="I1457">
        <v>1</v>
      </c>
      <c r="J1457">
        <v>43.494781490000001</v>
      </c>
      <c r="K1457">
        <v>14.550166129999999</v>
      </c>
      <c r="L1457">
        <v>14.550166129999999</v>
      </c>
      <c r="M1457">
        <v>2.6776025300000001</v>
      </c>
      <c r="N1457">
        <v>1</v>
      </c>
      <c r="O1457">
        <v>2.6776025300000001</v>
      </c>
    </row>
    <row r="1458" spans="1:15">
      <c r="A1458">
        <v>1.0448358419999999</v>
      </c>
      <c r="B1458">
        <v>0.46444830199999998</v>
      </c>
      <c r="C1458">
        <v>0.52241792099999995</v>
      </c>
      <c r="D1458">
        <v>1.0650427440000001</v>
      </c>
      <c r="E1458">
        <v>5</v>
      </c>
      <c r="F1458">
        <v>30</v>
      </c>
      <c r="G1458">
        <v>16</v>
      </c>
      <c r="H1458">
        <v>1</v>
      </c>
      <c r="I1458">
        <v>1</v>
      </c>
      <c r="J1458">
        <v>46.780513759999998</v>
      </c>
      <c r="K1458">
        <v>29.26901436</v>
      </c>
      <c r="L1458">
        <v>29.26901436</v>
      </c>
      <c r="M1458">
        <v>3.376529455</v>
      </c>
      <c r="N1458">
        <v>1</v>
      </c>
      <c r="O1458">
        <v>3.376529455</v>
      </c>
    </row>
    <row r="1459" spans="1:15">
      <c r="A1459">
        <v>-0.35031828100000001</v>
      </c>
      <c r="B1459">
        <v>-1.44910845</v>
      </c>
      <c r="C1459">
        <v>-0.17515914099999999</v>
      </c>
      <c r="D1459">
        <v>-1.2761473699999999</v>
      </c>
      <c r="E1459">
        <v>6</v>
      </c>
      <c r="F1459">
        <v>32</v>
      </c>
      <c r="G1459">
        <v>16</v>
      </c>
      <c r="H1459">
        <v>1</v>
      </c>
      <c r="I1459">
        <v>3</v>
      </c>
      <c r="J1459">
        <v>29.486230849999998</v>
      </c>
      <c r="K1459">
        <v>21.29808998</v>
      </c>
      <c r="L1459">
        <v>21.29808998</v>
      </c>
      <c r="M1459">
        <v>3.0586173529999998</v>
      </c>
      <c r="N1459">
        <v>1</v>
      </c>
      <c r="O1459">
        <v>3.0586173529999998</v>
      </c>
    </row>
    <row r="1460" spans="1:15">
      <c r="A1460">
        <v>-0.90872610200000004</v>
      </c>
      <c r="B1460">
        <v>2.0026615539999999</v>
      </c>
      <c r="C1460">
        <v>-0.45436305100000002</v>
      </c>
      <c r="D1460">
        <v>0.78378588800000004</v>
      </c>
      <c r="E1460">
        <v>7</v>
      </c>
      <c r="F1460">
        <v>48</v>
      </c>
      <c r="G1460">
        <v>16</v>
      </c>
      <c r="H1460">
        <v>1</v>
      </c>
      <c r="I1460">
        <v>5</v>
      </c>
      <c r="J1460">
        <v>70.605430600000005</v>
      </c>
      <c r="K1460">
        <v>21.147644039999999</v>
      </c>
      <c r="L1460">
        <v>21.147644039999999</v>
      </c>
      <c r="M1460">
        <v>3.0515284540000001</v>
      </c>
      <c r="N1460">
        <v>1</v>
      </c>
      <c r="O1460">
        <v>3.0515284540000001</v>
      </c>
    </row>
    <row r="1461" spans="1:15">
      <c r="A1461">
        <v>0.205102539</v>
      </c>
      <c r="B1461">
        <v>0.37186493599999998</v>
      </c>
      <c r="C1461">
        <v>0.102551269</v>
      </c>
      <c r="D1461">
        <v>0.40852413500000001</v>
      </c>
      <c r="E1461">
        <v>8</v>
      </c>
      <c r="F1461">
        <v>36</v>
      </c>
      <c r="G1461">
        <v>12</v>
      </c>
      <c r="H1461">
        <v>1</v>
      </c>
      <c r="I1461">
        <v>1</v>
      </c>
      <c r="J1461">
        <v>38.302288060000002</v>
      </c>
      <c r="K1461">
        <v>21.430614469999998</v>
      </c>
      <c r="L1461">
        <v>21.430614469999998</v>
      </c>
      <c r="M1461">
        <v>3.0648205279999998</v>
      </c>
      <c r="N1461">
        <v>1</v>
      </c>
      <c r="O1461">
        <v>3.0648205279999998</v>
      </c>
    </row>
    <row r="1462" spans="1:15">
      <c r="A1462">
        <v>-0.50403853600000004</v>
      </c>
      <c r="B1462">
        <v>-0.64678863399999997</v>
      </c>
      <c r="C1462">
        <v>-0.25201926800000002</v>
      </c>
      <c r="D1462">
        <v>-0.814173182</v>
      </c>
      <c r="E1462">
        <v>9</v>
      </c>
      <c r="F1462">
        <v>42</v>
      </c>
      <c r="G1462">
        <v>16</v>
      </c>
      <c r="H1462">
        <v>1</v>
      </c>
      <c r="I1462">
        <v>0</v>
      </c>
      <c r="J1462">
        <v>24.029922490000001</v>
      </c>
      <c r="K1462">
        <v>22.375768659999999</v>
      </c>
      <c r="N1462">
        <v>0</v>
      </c>
      <c r="O1462">
        <v>0</v>
      </c>
    </row>
    <row r="1463" spans="1:15">
      <c r="A1463">
        <v>1.982995879</v>
      </c>
      <c r="B1463">
        <v>1.0982360840000001</v>
      </c>
      <c r="C1463">
        <v>0.99149793900000005</v>
      </c>
      <c r="D1463">
        <v>2.1753710599999998</v>
      </c>
      <c r="E1463">
        <v>0</v>
      </c>
      <c r="F1463">
        <v>21</v>
      </c>
      <c r="G1463">
        <v>10</v>
      </c>
      <c r="H1463">
        <v>0</v>
      </c>
      <c r="I1463">
        <v>0</v>
      </c>
      <c r="J1463">
        <v>42.004451750000001</v>
      </c>
      <c r="K1463">
        <v>27.097974780000001</v>
      </c>
      <c r="L1463">
        <v>27.097974780000001</v>
      </c>
      <c r="M1463">
        <v>3.2994589809999999</v>
      </c>
      <c r="N1463">
        <v>1</v>
      </c>
      <c r="O1463">
        <v>3.2994589809999999</v>
      </c>
    </row>
    <row r="1464" spans="1:15">
      <c r="A1464">
        <v>0.53568770399999999</v>
      </c>
      <c r="B1464">
        <v>-0.49153356300000001</v>
      </c>
      <c r="C1464">
        <v>0.26784385199999999</v>
      </c>
      <c r="D1464">
        <v>2.7568559999999999E-2</v>
      </c>
      <c r="E1464">
        <v>1</v>
      </c>
      <c r="F1464">
        <v>51</v>
      </c>
      <c r="G1464">
        <v>10</v>
      </c>
      <c r="H1464">
        <v>0</v>
      </c>
      <c r="I1464">
        <v>2</v>
      </c>
      <c r="J1464">
        <v>38.230823520000001</v>
      </c>
      <c r="K1464">
        <v>24.414125439999999</v>
      </c>
      <c r="L1464">
        <v>24.414125439999999</v>
      </c>
      <c r="M1464">
        <v>3.195161819</v>
      </c>
      <c r="N1464">
        <v>1</v>
      </c>
      <c r="O1464">
        <v>3.195161819</v>
      </c>
    </row>
    <row r="1465" spans="1:15">
      <c r="A1465">
        <v>-0.68082991800000003</v>
      </c>
      <c r="B1465">
        <v>-0.53955809399999999</v>
      </c>
      <c r="C1465">
        <v>-0.34041495900000002</v>
      </c>
      <c r="D1465">
        <v>-0.86234548099999997</v>
      </c>
      <c r="E1465">
        <v>2</v>
      </c>
      <c r="F1465">
        <v>31</v>
      </c>
      <c r="G1465">
        <v>12</v>
      </c>
      <c r="H1465">
        <v>0</v>
      </c>
      <c r="I1465">
        <v>2</v>
      </c>
      <c r="J1465">
        <v>21.05185509</v>
      </c>
      <c r="K1465">
        <v>15.115020749999999</v>
      </c>
      <c r="N1465">
        <v>0</v>
      </c>
      <c r="O1465">
        <v>0</v>
      </c>
    </row>
    <row r="1466" spans="1:15">
      <c r="A1466">
        <v>0.114726063</v>
      </c>
      <c r="B1466">
        <v>1.57483164</v>
      </c>
      <c r="C1466">
        <v>5.7363031000000002E-2</v>
      </c>
      <c r="D1466">
        <v>1.1997507059999999</v>
      </c>
      <c r="E1466">
        <v>3</v>
      </c>
      <c r="F1466">
        <v>44</v>
      </c>
      <c r="G1466">
        <v>10</v>
      </c>
      <c r="H1466">
        <v>1</v>
      </c>
      <c r="I1466">
        <v>1</v>
      </c>
      <c r="J1466">
        <v>49.49700928</v>
      </c>
      <c r="K1466">
        <v>20.488355640000002</v>
      </c>
      <c r="L1466">
        <v>20.488355640000002</v>
      </c>
      <c r="M1466">
        <v>3.0198566910000002</v>
      </c>
      <c r="N1466">
        <v>1</v>
      </c>
      <c r="O1466">
        <v>3.0198566910000002</v>
      </c>
    </row>
    <row r="1467" spans="1:15">
      <c r="A1467">
        <v>0.63896829700000002</v>
      </c>
      <c r="B1467">
        <v>-1.935991067</v>
      </c>
      <c r="C1467">
        <v>0.319484149</v>
      </c>
      <c r="D1467">
        <v>-0.92617883099999998</v>
      </c>
      <c r="E1467">
        <v>4</v>
      </c>
      <c r="F1467">
        <v>35</v>
      </c>
      <c r="G1467">
        <v>16</v>
      </c>
      <c r="H1467">
        <v>1</v>
      </c>
      <c r="I1467">
        <v>0</v>
      </c>
      <c r="J1467">
        <v>19.885854720000001</v>
      </c>
      <c r="K1467">
        <v>27.833808900000001</v>
      </c>
      <c r="N1467">
        <v>0</v>
      </c>
      <c r="O1467">
        <v>0</v>
      </c>
    </row>
    <row r="1468" spans="1:15">
      <c r="A1468">
        <v>0.73936512700000001</v>
      </c>
      <c r="B1468">
        <v>1.5704273200000001</v>
      </c>
      <c r="C1468">
        <v>0.36968256399999999</v>
      </c>
      <c r="D1468">
        <v>1.636038554</v>
      </c>
      <c r="E1468">
        <v>5</v>
      </c>
      <c r="F1468">
        <v>32</v>
      </c>
      <c r="G1468">
        <v>16</v>
      </c>
      <c r="H1468">
        <v>1</v>
      </c>
      <c r="I1468">
        <v>1</v>
      </c>
      <c r="J1468">
        <v>54.43246078</v>
      </c>
      <c r="K1468">
        <v>27.83619118</v>
      </c>
      <c r="L1468">
        <v>27.83619118</v>
      </c>
      <c r="M1468">
        <v>3.3263370989999999</v>
      </c>
      <c r="N1468">
        <v>1</v>
      </c>
      <c r="O1468">
        <v>3.3263370989999999</v>
      </c>
    </row>
    <row r="1469" spans="1:15">
      <c r="A1469">
        <v>-1.5213727130000001</v>
      </c>
      <c r="B1469">
        <v>-1.2746583419999999</v>
      </c>
      <c r="C1469">
        <v>-0.76068635699999998</v>
      </c>
      <c r="D1469">
        <v>-1.9759932</v>
      </c>
      <c r="E1469">
        <v>6</v>
      </c>
      <c r="F1469">
        <v>44</v>
      </c>
      <c r="G1469">
        <v>16</v>
      </c>
      <c r="H1469">
        <v>1</v>
      </c>
      <c r="I1469">
        <v>4</v>
      </c>
      <c r="J1469">
        <v>30.888082499999999</v>
      </c>
      <c r="K1469">
        <v>16.671764369999998</v>
      </c>
      <c r="L1469">
        <v>16.671764369999998</v>
      </c>
      <c r="M1469">
        <v>2.8137166499999999</v>
      </c>
      <c r="N1469">
        <v>1</v>
      </c>
      <c r="O1469">
        <v>2.8137166499999999</v>
      </c>
    </row>
    <row r="1470" spans="1:15">
      <c r="A1470">
        <v>0.17405886100000001</v>
      </c>
      <c r="B1470">
        <v>-0.31779743700000002</v>
      </c>
      <c r="C1470">
        <v>8.7029431000000004E-2</v>
      </c>
      <c r="D1470">
        <v>-0.103374585</v>
      </c>
      <c r="E1470">
        <v>7</v>
      </c>
      <c r="F1470">
        <v>52</v>
      </c>
      <c r="G1470">
        <v>16</v>
      </c>
      <c r="H1470">
        <v>1</v>
      </c>
      <c r="I1470">
        <v>5</v>
      </c>
      <c r="J1470">
        <v>61.559505459999997</v>
      </c>
      <c r="K1470">
        <v>28.444353100000001</v>
      </c>
      <c r="L1470">
        <v>28.444353100000001</v>
      </c>
      <c r="M1470">
        <v>3.347949743</v>
      </c>
      <c r="N1470">
        <v>1</v>
      </c>
      <c r="O1470">
        <v>3.347949743</v>
      </c>
    </row>
    <row r="1471" spans="1:15">
      <c r="A1471">
        <v>0.32183434100000002</v>
      </c>
      <c r="B1471">
        <v>2.5196308680000001</v>
      </c>
      <c r="C1471">
        <v>0.160917171</v>
      </c>
      <c r="D1471">
        <v>2.0168014809999999</v>
      </c>
      <c r="E1471">
        <v>8</v>
      </c>
      <c r="F1471">
        <v>37</v>
      </c>
      <c r="G1471">
        <v>16</v>
      </c>
      <c r="H1471">
        <v>1</v>
      </c>
      <c r="I1471">
        <v>2</v>
      </c>
      <c r="J1471">
        <v>66.001617429999996</v>
      </c>
      <c r="K1471">
        <v>26.331005099999999</v>
      </c>
      <c r="L1471">
        <v>26.331005099999999</v>
      </c>
      <c r="M1471">
        <v>3.2707471849999998</v>
      </c>
      <c r="N1471">
        <v>1</v>
      </c>
      <c r="O1471">
        <v>3.2707471849999998</v>
      </c>
    </row>
    <row r="1472" spans="1:15">
      <c r="A1472">
        <v>-0.22222446500000001</v>
      </c>
      <c r="B1472">
        <v>-1.1663010220000001</v>
      </c>
      <c r="C1472">
        <v>-0.111112233</v>
      </c>
      <c r="D1472">
        <v>-0.98507936900000004</v>
      </c>
      <c r="E1472">
        <v>9</v>
      </c>
      <c r="F1472">
        <v>42</v>
      </c>
      <c r="G1472">
        <v>12</v>
      </c>
      <c r="H1472">
        <v>1</v>
      </c>
      <c r="I1472">
        <v>2</v>
      </c>
      <c r="J1472">
        <v>28.979047779999998</v>
      </c>
      <c r="K1472">
        <v>20.066652300000001</v>
      </c>
      <c r="N1472">
        <v>0</v>
      </c>
      <c r="O1472">
        <v>0</v>
      </c>
    </row>
    <row r="1473" spans="1:15">
      <c r="A1473">
        <v>1.634883855</v>
      </c>
      <c r="B1473">
        <v>0.25760425599999998</v>
      </c>
      <c r="C1473">
        <v>0.81744192800000004</v>
      </c>
      <c r="D1473">
        <v>1.3331470599999999</v>
      </c>
      <c r="E1473">
        <v>0</v>
      </c>
      <c r="F1473">
        <v>27</v>
      </c>
      <c r="G1473">
        <v>10</v>
      </c>
      <c r="H1473">
        <v>0</v>
      </c>
      <c r="I1473">
        <v>0</v>
      </c>
      <c r="J1473">
        <v>34.29776382</v>
      </c>
      <c r="K1473">
        <v>26.209302900000001</v>
      </c>
      <c r="L1473">
        <v>26.209302900000001</v>
      </c>
      <c r="M1473">
        <v>3.266114473</v>
      </c>
      <c r="N1473">
        <v>1</v>
      </c>
      <c r="O1473">
        <v>3.266114473</v>
      </c>
    </row>
    <row r="1474" spans="1:15">
      <c r="A1474">
        <v>1.276573102</v>
      </c>
      <c r="B1474">
        <v>0.15232357099999999</v>
      </c>
      <c r="C1474">
        <v>0.63828655099999998</v>
      </c>
      <c r="D1474">
        <v>1.0062743359999999</v>
      </c>
      <c r="E1474">
        <v>1</v>
      </c>
      <c r="F1474">
        <v>33</v>
      </c>
      <c r="G1474">
        <v>10</v>
      </c>
      <c r="H1474">
        <v>0</v>
      </c>
      <c r="I1474">
        <v>2</v>
      </c>
      <c r="J1474">
        <v>42.775291439999997</v>
      </c>
      <c r="K1474">
        <v>25.25943947</v>
      </c>
      <c r="L1474">
        <v>25.25943947</v>
      </c>
      <c r="M1474">
        <v>3.229199886</v>
      </c>
      <c r="N1474">
        <v>1</v>
      </c>
      <c r="O1474">
        <v>3.229199886</v>
      </c>
    </row>
    <row r="1475" spans="1:15">
      <c r="A1475">
        <v>1.1923866620000001</v>
      </c>
      <c r="B1475">
        <v>0.65804766000000003</v>
      </c>
      <c r="C1475">
        <v>0.59619333100000005</v>
      </c>
      <c r="D1475">
        <v>1.3064087740000001</v>
      </c>
      <c r="E1475">
        <v>2</v>
      </c>
      <c r="F1475">
        <v>39</v>
      </c>
      <c r="G1475">
        <v>12</v>
      </c>
      <c r="H1475">
        <v>0</v>
      </c>
      <c r="I1475">
        <v>3</v>
      </c>
      <c r="J1475">
        <v>55.276905059999997</v>
      </c>
      <c r="K1475">
        <v>27.95432091</v>
      </c>
      <c r="L1475">
        <v>27.95432091</v>
      </c>
      <c r="M1475">
        <v>3.3305718899999999</v>
      </c>
      <c r="N1475">
        <v>1</v>
      </c>
      <c r="O1475">
        <v>3.3305718899999999</v>
      </c>
    </row>
    <row r="1476" spans="1:15">
      <c r="A1476">
        <v>-0.727886123</v>
      </c>
      <c r="B1476">
        <v>0.73842114999999997</v>
      </c>
      <c r="C1476">
        <v>-0.36394306199999998</v>
      </c>
      <c r="D1476">
        <v>1.2658192E-2</v>
      </c>
      <c r="E1476">
        <v>3</v>
      </c>
      <c r="F1476">
        <v>38</v>
      </c>
      <c r="G1476">
        <v>12</v>
      </c>
      <c r="H1476">
        <v>1</v>
      </c>
      <c r="I1476">
        <v>1</v>
      </c>
      <c r="J1476">
        <v>34.35189819</v>
      </c>
      <c r="K1476">
        <v>16.232683179999999</v>
      </c>
      <c r="L1476">
        <v>16.232683179999999</v>
      </c>
      <c r="M1476">
        <v>2.787026644</v>
      </c>
      <c r="N1476">
        <v>1</v>
      </c>
      <c r="O1476">
        <v>2.787026644</v>
      </c>
    </row>
    <row r="1477" spans="1:15">
      <c r="A1477">
        <v>-2.1084268829999999</v>
      </c>
      <c r="B1477">
        <v>-2.531691484</v>
      </c>
      <c r="C1477">
        <v>-1.0542134409999999</v>
      </c>
      <c r="D1477">
        <v>-3.2821932870000001</v>
      </c>
      <c r="E1477">
        <v>4</v>
      </c>
      <c r="F1477">
        <v>35</v>
      </c>
      <c r="G1477">
        <v>16</v>
      </c>
      <c r="H1477">
        <v>0</v>
      </c>
      <c r="I1477">
        <v>2</v>
      </c>
      <c r="J1477">
        <v>-3.386319399</v>
      </c>
      <c r="K1477">
        <v>11.34943867</v>
      </c>
      <c r="N1477">
        <v>0</v>
      </c>
      <c r="O1477">
        <v>0</v>
      </c>
    </row>
    <row r="1478" spans="1:15">
      <c r="A1478">
        <v>-1.8981935409999999</v>
      </c>
      <c r="B1478">
        <v>0.89771783599999999</v>
      </c>
      <c r="C1478">
        <v>-0.94909677000000003</v>
      </c>
      <c r="D1478">
        <v>-0.69742985099999999</v>
      </c>
      <c r="E1478">
        <v>5</v>
      </c>
      <c r="F1478">
        <v>49</v>
      </c>
      <c r="G1478">
        <v>12</v>
      </c>
      <c r="H1478">
        <v>1</v>
      </c>
      <c r="I1478">
        <v>0</v>
      </c>
      <c r="J1478">
        <v>25.230842590000002</v>
      </c>
      <c r="K1478">
        <v>11.410839080000001</v>
      </c>
      <c r="N1478">
        <v>0</v>
      </c>
      <c r="O1478">
        <v>0</v>
      </c>
    </row>
    <row r="1479" spans="1:15">
      <c r="A1479">
        <v>-1.1750490870000001</v>
      </c>
      <c r="B1479">
        <v>1.7568601079999999</v>
      </c>
      <c r="C1479">
        <v>-0.58752454300000001</v>
      </c>
      <c r="D1479">
        <v>0.42177294399999998</v>
      </c>
      <c r="E1479">
        <v>6</v>
      </c>
      <c r="F1479">
        <v>35</v>
      </c>
      <c r="G1479">
        <v>12</v>
      </c>
      <c r="H1479">
        <v>1</v>
      </c>
      <c r="I1479">
        <v>1</v>
      </c>
      <c r="J1479">
        <v>38.061275479999999</v>
      </c>
      <c r="K1479">
        <v>12.949705120000001</v>
      </c>
      <c r="L1479">
        <v>12.949705120000001</v>
      </c>
      <c r="M1479">
        <v>2.561073065</v>
      </c>
      <c r="N1479">
        <v>1</v>
      </c>
      <c r="O1479">
        <v>2.561073065</v>
      </c>
    </row>
    <row r="1480" spans="1:15">
      <c r="A1480">
        <v>-0.54037025699999996</v>
      </c>
      <c r="B1480">
        <v>0.43755022900000001</v>
      </c>
      <c r="C1480">
        <v>-0.270185128</v>
      </c>
      <c r="D1480">
        <v>-6.9222092999999998E-2</v>
      </c>
      <c r="E1480">
        <v>7</v>
      </c>
      <c r="F1480">
        <v>56</v>
      </c>
      <c r="G1480">
        <v>16</v>
      </c>
      <c r="H1480">
        <v>1</v>
      </c>
      <c r="I1480">
        <v>1</v>
      </c>
      <c r="J1480">
        <v>43.569335940000002</v>
      </c>
      <c r="K1480">
        <v>24.95777893</v>
      </c>
      <c r="L1480">
        <v>24.95777893</v>
      </c>
      <c r="M1480">
        <v>3.217185497</v>
      </c>
      <c r="N1480">
        <v>1</v>
      </c>
      <c r="O1480">
        <v>3.217185497</v>
      </c>
    </row>
    <row r="1481" spans="1:15">
      <c r="A1481">
        <v>-2.8314813000000001E-2</v>
      </c>
      <c r="B1481">
        <v>-1.6773695040000001</v>
      </c>
      <c r="C1481">
        <v>-1.4157407E-2</v>
      </c>
      <c r="D1481">
        <v>-1.2118239770000001</v>
      </c>
      <c r="E1481">
        <v>8</v>
      </c>
      <c r="F1481">
        <v>51</v>
      </c>
      <c r="G1481">
        <v>12</v>
      </c>
      <c r="H1481">
        <v>1</v>
      </c>
      <c r="I1481">
        <v>4</v>
      </c>
      <c r="J1481">
        <v>39.858112339999998</v>
      </c>
      <c r="K1481">
        <v>23.030111309999999</v>
      </c>
      <c r="L1481">
        <v>23.030111309999999</v>
      </c>
      <c r="M1481">
        <v>3.1368024349999999</v>
      </c>
      <c r="N1481">
        <v>1</v>
      </c>
      <c r="O1481">
        <v>3.1368024349999999</v>
      </c>
    </row>
    <row r="1482" spans="1:15">
      <c r="A1482">
        <v>-0.432614006</v>
      </c>
      <c r="B1482">
        <v>1.190780768</v>
      </c>
      <c r="C1482">
        <v>-0.216307003</v>
      </c>
      <c r="D1482">
        <v>0.54181221300000004</v>
      </c>
      <c r="E1482">
        <v>9</v>
      </c>
      <c r="F1482">
        <v>48</v>
      </c>
      <c r="G1482">
        <v>12</v>
      </c>
      <c r="H1482">
        <v>1</v>
      </c>
      <c r="I1482">
        <v>1</v>
      </c>
      <c r="J1482">
        <v>44.70174789</v>
      </c>
      <c r="K1482">
        <v>20.004316330000002</v>
      </c>
      <c r="L1482">
        <v>20.004316330000002</v>
      </c>
      <c r="M1482">
        <v>2.9959480759999999</v>
      </c>
      <c r="N1482">
        <v>1</v>
      </c>
      <c r="O1482">
        <v>2.9959480759999999</v>
      </c>
    </row>
    <row r="1483" spans="1:15">
      <c r="A1483">
        <v>0.36232301099999997</v>
      </c>
      <c r="B1483">
        <v>-0.73555268699999998</v>
      </c>
      <c r="C1483">
        <v>0.181161506</v>
      </c>
      <c r="D1483">
        <v>-0.26778414099999998</v>
      </c>
      <c r="E1483">
        <v>0</v>
      </c>
      <c r="F1483">
        <v>20</v>
      </c>
      <c r="G1483">
        <v>10</v>
      </c>
      <c r="H1483">
        <v>0</v>
      </c>
      <c r="I1483">
        <v>2</v>
      </c>
      <c r="J1483">
        <v>22.286590579999999</v>
      </c>
      <c r="K1483">
        <v>17.173938750000001</v>
      </c>
      <c r="N1483">
        <v>0</v>
      </c>
      <c r="O1483">
        <v>0</v>
      </c>
    </row>
    <row r="1484" spans="1:15">
      <c r="A1484">
        <v>-0.20653380700000001</v>
      </c>
      <c r="B1484">
        <v>0.88956820800000003</v>
      </c>
      <c r="C1484">
        <v>-0.10326690400000001</v>
      </c>
      <c r="D1484">
        <v>0.48681817799999999</v>
      </c>
      <c r="E1484">
        <v>1</v>
      </c>
      <c r="F1484">
        <v>25</v>
      </c>
      <c r="G1484">
        <v>20</v>
      </c>
      <c r="H1484">
        <v>0</v>
      </c>
      <c r="I1484">
        <v>0</v>
      </c>
      <c r="J1484">
        <v>30.841817859999999</v>
      </c>
      <c r="K1484">
        <v>24.760797499999999</v>
      </c>
      <c r="L1484">
        <v>24.760797499999999</v>
      </c>
      <c r="M1484">
        <v>3.2092616559999998</v>
      </c>
      <c r="N1484">
        <v>1</v>
      </c>
      <c r="O1484">
        <v>3.2092616559999998</v>
      </c>
    </row>
    <row r="1485" spans="1:15">
      <c r="A1485">
        <v>0.47224154400000001</v>
      </c>
      <c r="B1485">
        <v>1.551958747</v>
      </c>
      <c r="C1485">
        <v>0.23612077200000001</v>
      </c>
      <c r="D1485">
        <v>1.4350006049999999</v>
      </c>
      <c r="E1485">
        <v>2</v>
      </c>
      <c r="F1485">
        <v>24</v>
      </c>
      <c r="G1485">
        <v>10</v>
      </c>
      <c r="H1485">
        <v>0</v>
      </c>
      <c r="I1485">
        <v>2</v>
      </c>
      <c r="J1485">
        <v>44.320007320000002</v>
      </c>
      <c r="K1485">
        <v>18.633449550000002</v>
      </c>
      <c r="L1485">
        <v>18.633449550000002</v>
      </c>
      <c r="M1485">
        <v>2.924958229</v>
      </c>
      <c r="N1485">
        <v>1</v>
      </c>
      <c r="O1485">
        <v>2.924958229</v>
      </c>
    </row>
    <row r="1486" spans="1:15">
      <c r="A1486">
        <v>0.42952110199999999</v>
      </c>
      <c r="B1486">
        <v>-1.5698547E-2</v>
      </c>
      <c r="C1486">
        <v>0.21476055099999999</v>
      </c>
      <c r="D1486">
        <v>0.29100194400000001</v>
      </c>
      <c r="E1486">
        <v>3</v>
      </c>
      <c r="F1486">
        <v>29</v>
      </c>
      <c r="G1486">
        <v>10</v>
      </c>
      <c r="H1486">
        <v>0</v>
      </c>
      <c r="I1486">
        <v>3</v>
      </c>
      <c r="J1486">
        <v>37.592021940000002</v>
      </c>
      <c r="K1486">
        <v>19.377126690000001</v>
      </c>
      <c r="L1486">
        <v>19.377126690000001</v>
      </c>
      <c r="M1486">
        <v>2.9640934470000002</v>
      </c>
      <c r="N1486">
        <v>1</v>
      </c>
      <c r="O1486">
        <v>2.9640934470000002</v>
      </c>
    </row>
    <row r="1487" spans="1:15">
      <c r="A1487">
        <v>0.67047842199999996</v>
      </c>
      <c r="B1487">
        <v>0.66506952100000005</v>
      </c>
      <c r="C1487">
        <v>0.33523921099999998</v>
      </c>
      <c r="D1487">
        <v>0.94424938199999997</v>
      </c>
      <c r="E1487">
        <v>4</v>
      </c>
      <c r="F1487">
        <v>37</v>
      </c>
      <c r="G1487">
        <v>12</v>
      </c>
      <c r="H1487">
        <v>1</v>
      </c>
      <c r="I1487">
        <v>1</v>
      </c>
      <c r="J1487">
        <v>45.130992890000002</v>
      </c>
      <c r="K1487">
        <v>24.422870639999999</v>
      </c>
      <c r="L1487">
        <v>24.422870639999999</v>
      </c>
      <c r="M1487">
        <v>3.1955199240000001</v>
      </c>
      <c r="N1487">
        <v>1</v>
      </c>
      <c r="O1487">
        <v>3.1955199240000001</v>
      </c>
    </row>
    <row r="1488" spans="1:15">
      <c r="A1488">
        <v>0.331649156</v>
      </c>
      <c r="B1488">
        <v>-0.46710353599999999</v>
      </c>
      <c r="C1488">
        <v>0.165824578</v>
      </c>
      <c r="D1488">
        <v>-9.8607807000000006E-2</v>
      </c>
      <c r="E1488">
        <v>5</v>
      </c>
      <c r="F1488">
        <v>46</v>
      </c>
      <c r="G1488">
        <v>16</v>
      </c>
      <c r="H1488">
        <v>1</v>
      </c>
      <c r="I1488">
        <v>3</v>
      </c>
      <c r="J1488">
        <v>49.216705320000003</v>
      </c>
      <c r="K1488">
        <v>28.189895629999999</v>
      </c>
      <c r="L1488">
        <v>28.189895629999999</v>
      </c>
      <c r="M1488">
        <v>3.3389635090000001</v>
      </c>
      <c r="N1488">
        <v>1</v>
      </c>
      <c r="O1488">
        <v>3.3389635090000001</v>
      </c>
    </row>
    <row r="1489" spans="1:15">
      <c r="A1489">
        <v>-1.0865913540000001</v>
      </c>
      <c r="B1489">
        <v>0.10470185</v>
      </c>
      <c r="C1489">
        <v>-0.54329567700000003</v>
      </c>
      <c r="D1489">
        <v>-0.68998995100000005</v>
      </c>
      <c r="E1489">
        <v>6</v>
      </c>
      <c r="F1489">
        <v>48</v>
      </c>
      <c r="G1489">
        <v>12</v>
      </c>
      <c r="H1489">
        <v>1</v>
      </c>
      <c r="I1489">
        <v>2</v>
      </c>
      <c r="J1489">
        <v>34.920120240000003</v>
      </c>
      <c r="K1489">
        <v>16.080451969999999</v>
      </c>
      <c r="L1489">
        <v>16.080451969999999</v>
      </c>
      <c r="M1489">
        <v>2.7776043420000001</v>
      </c>
      <c r="N1489">
        <v>1</v>
      </c>
      <c r="O1489">
        <v>2.7776043420000001</v>
      </c>
    </row>
    <row r="1490" spans="1:15">
      <c r="A1490">
        <v>-2.3825490560000002</v>
      </c>
      <c r="B1490">
        <v>0.71821414500000003</v>
      </c>
      <c r="C1490">
        <v>-1.1912745280000001</v>
      </c>
      <c r="D1490">
        <v>-1.165713198</v>
      </c>
      <c r="E1490">
        <v>7</v>
      </c>
      <c r="F1490">
        <v>45</v>
      </c>
      <c r="G1490">
        <v>10</v>
      </c>
      <c r="H1490">
        <v>1</v>
      </c>
      <c r="I1490">
        <v>0</v>
      </c>
      <c r="J1490">
        <v>16.51144218</v>
      </c>
      <c r="K1490">
        <v>5.7047057150000002</v>
      </c>
      <c r="N1490">
        <v>0</v>
      </c>
      <c r="O1490">
        <v>0</v>
      </c>
    </row>
    <row r="1491" spans="1:15">
      <c r="A1491">
        <v>-0.38761209000000002</v>
      </c>
      <c r="B1491">
        <v>-0.484398736</v>
      </c>
      <c r="C1491">
        <v>-0.19380604500000001</v>
      </c>
      <c r="D1491">
        <v>-0.61687916600000003</v>
      </c>
      <c r="E1491">
        <v>8</v>
      </c>
      <c r="F1491">
        <v>41</v>
      </c>
      <c r="G1491">
        <v>16</v>
      </c>
      <c r="H1491">
        <v>1</v>
      </c>
      <c r="I1491">
        <v>0</v>
      </c>
      <c r="J1491">
        <v>25.997449870000001</v>
      </c>
      <c r="K1491">
        <v>22.874326709999998</v>
      </c>
      <c r="N1491">
        <v>0</v>
      </c>
      <c r="O1491">
        <v>0</v>
      </c>
    </row>
    <row r="1492" spans="1:15">
      <c r="A1492">
        <v>0.98326935100000001</v>
      </c>
      <c r="B1492">
        <v>6.333685E-2</v>
      </c>
      <c r="C1492">
        <v>0.49163467500000002</v>
      </c>
      <c r="D1492">
        <v>0.73671052699999995</v>
      </c>
      <c r="E1492">
        <v>9</v>
      </c>
      <c r="F1492">
        <v>45</v>
      </c>
      <c r="G1492">
        <v>16</v>
      </c>
      <c r="H1492">
        <v>1</v>
      </c>
      <c r="I1492">
        <v>1</v>
      </c>
      <c r="J1492">
        <v>48.840526580000002</v>
      </c>
      <c r="K1492">
        <v>31.89961624</v>
      </c>
      <c r="L1492">
        <v>31.89961624</v>
      </c>
      <c r="M1492">
        <v>3.4625940320000002</v>
      </c>
      <c r="N1492">
        <v>1</v>
      </c>
      <c r="O1492">
        <v>3.4625940320000002</v>
      </c>
    </row>
    <row r="1493" spans="1:15">
      <c r="A1493">
        <v>3.6005374999999999E-2</v>
      </c>
      <c r="B1493">
        <v>0.76830832100000002</v>
      </c>
      <c r="C1493">
        <v>1.8002687999999999E-2</v>
      </c>
      <c r="D1493">
        <v>0.57127338599999999</v>
      </c>
      <c r="E1493">
        <v>0</v>
      </c>
      <c r="F1493">
        <v>22</v>
      </c>
      <c r="G1493">
        <v>16</v>
      </c>
      <c r="H1493">
        <v>0</v>
      </c>
      <c r="I1493">
        <v>3</v>
      </c>
      <c r="J1493">
        <v>42.655281070000001</v>
      </c>
      <c r="K1493">
        <v>21.61603165</v>
      </c>
      <c r="L1493">
        <v>21.61603165</v>
      </c>
      <c r="M1493">
        <v>3.073435307</v>
      </c>
      <c r="N1493">
        <v>1</v>
      </c>
      <c r="O1493">
        <v>3.073435307</v>
      </c>
    </row>
    <row r="1494" spans="1:15">
      <c r="A1494">
        <v>0.70487494500000003</v>
      </c>
      <c r="B1494">
        <v>-1.613259912</v>
      </c>
      <c r="C1494">
        <v>0.352437473</v>
      </c>
      <c r="D1494">
        <v>-0.65048889799999998</v>
      </c>
      <c r="E1494">
        <v>1</v>
      </c>
      <c r="F1494">
        <v>32</v>
      </c>
      <c r="G1494">
        <v>16</v>
      </c>
      <c r="H1494">
        <v>0</v>
      </c>
      <c r="I1494">
        <v>2</v>
      </c>
      <c r="J1494">
        <v>26.994133000000001</v>
      </c>
      <c r="K1494">
        <v>27.629249569999999</v>
      </c>
      <c r="N1494">
        <v>0</v>
      </c>
      <c r="O1494">
        <v>0</v>
      </c>
    </row>
    <row r="1495" spans="1:15">
      <c r="A1495">
        <v>2.1178303669999998</v>
      </c>
      <c r="B1495">
        <v>0.86509966999999999</v>
      </c>
      <c r="C1495">
        <v>1.0589151830000001</v>
      </c>
      <c r="D1495">
        <v>2.10456157</v>
      </c>
      <c r="E1495">
        <v>2</v>
      </c>
      <c r="F1495">
        <v>37</v>
      </c>
      <c r="G1495">
        <v>16</v>
      </c>
      <c r="H1495">
        <v>1</v>
      </c>
      <c r="I1495">
        <v>2</v>
      </c>
      <c r="J1495">
        <v>67.054740910000007</v>
      </c>
      <c r="K1495">
        <v>37.10698318</v>
      </c>
      <c r="L1495">
        <v>37.10698318</v>
      </c>
      <c r="M1495">
        <v>3.6138052940000001</v>
      </c>
      <c r="N1495">
        <v>1</v>
      </c>
      <c r="O1495">
        <v>3.6138052940000001</v>
      </c>
    </row>
    <row r="1496" spans="1:15">
      <c r="A1496">
        <v>0.69443807000000002</v>
      </c>
      <c r="B1496">
        <v>-1.7344756859999999</v>
      </c>
      <c r="C1496">
        <v>0.34721903500000001</v>
      </c>
      <c r="D1496">
        <v>-0.74396447600000004</v>
      </c>
      <c r="E1496">
        <v>3</v>
      </c>
      <c r="F1496">
        <v>26</v>
      </c>
      <c r="G1496">
        <v>10</v>
      </c>
      <c r="H1496">
        <v>1</v>
      </c>
      <c r="I1496">
        <v>0</v>
      </c>
      <c r="J1496">
        <v>13.972426410000001</v>
      </c>
      <c r="K1496">
        <v>20.366628649999999</v>
      </c>
      <c r="N1496">
        <v>0</v>
      </c>
      <c r="O1496">
        <v>0</v>
      </c>
    </row>
    <row r="1497" spans="1:15">
      <c r="A1497">
        <v>-1.5118776860000001</v>
      </c>
      <c r="B1497">
        <v>1.7808217239999999</v>
      </c>
      <c r="C1497">
        <v>-0.75593884300000003</v>
      </c>
      <c r="D1497">
        <v>0.20184935800000001</v>
      </c>
      <c r="E1497">
        <v>4</v>
      </c>
      <c r="F1497">
        <v>39</v>
      </c>
      <c r="G1497">
        <v>10</v>
      </c>
      <c r="H1497">
        <v>0</v>
      </c>
      <c r="I1497">
        <v>1</v>
      </c>
      <c r="J1497">
        <v>30.522192</v>
      </c>
      <c r="K1497">
        <v>9.7287340160000007</v>
      </c>
      <c r="L1497">
        <v>9.7287340160000007</v>
      </c>
      <c r="M1497">
        <v>2.2750837800000001</v>
      </c>
      <c r="N1497">
        <v>1</v>
      </c>
      <c r="O1497">
        <v>2.2750837800000001</v>
      </c>
    </row>
    <row r="1498" spans="1:15">
      <c r="A1498">
        <v>-0.20710120700000001</v>
      </c>
      <c r="B1498">
        <v>-0.62346256300000003</v>
      </c>
      <c r="C1498">
        <v>-0.103550603</v>
      </c>
      <c r="D1498">
        <v>-0.588710391</v>
      </c>
      <c r="E1498">
        <v>5</v>
      </c>
      <c r="F1498">
        <v>42</v>
      </c>
      <c r="G1498">
        <v>16</v>
      </c>
      <c r="H1498">
        <v>1</v>
      </c>
      <c r="I1498">
        <v>1</v>
      </c>
      <c r="J1498">
        <v>31.735475539999999</v>
      </c>
      <c r="K1498">
        <v>24.1573925</v>
      </c>
      <c r="L1498">
        <v>24.1573925</v>
      </c>
      <c r="M1498">
        <v>3.1845903400000002</v>
      </c>
      <c r="N1498">
        <v>1</v>
      </c>
      <c r="O1498">
        <v>3.1845903400000002</v>
      </c>
    </row>
    <row r="1499" spans="1:15">
      <c r="A1499">
        <v>0.470723685</v>
      </c>
      <c r="B1499">
        <v>0.94549197200000001</v>
      </c>
      <c r="C1499">
        <v>0.23536184199999999</v>
      </c>
      <c r="D1499">
        <v>1.002989664</v>
      </c>
      <c r="E1499">
        <v>6</v>
      </c>
      <c r="F1499">
        <v>53</v>
      </c>
      <c r="G1499">
        <v>12</v>
      </c>
      <c r="H1499">
        <v>1</v>
      </c>
      <c r="I1499">
        <v>2</v>
      </c>
      <c r="J1499">
        <v>57.235874180000003</v>
      </c>
      <c r="K1499">
        <v>26.424341200000001</v>
      </c>
      <c r="L1499">
        <v>26.424341200000001</v>
      </c>
      <c r="M1499">
        <v>3.2742855550000001</v>
      </c>
      <c r="N1499">
        <v>1</v>
      </c>
      <c r="O1499">
        <v>3.2742855550000001</v>
      </c>
    </row>
    <row r="1500" spans="1:15">
      <c r="A1500">
        <v>-0.12588677600000001</v>
      </c>
      <c r="B1500">
        <v>-0.37493464500000001</v>
      </c>
      <c r="C1500">
        <v>-6.2943388000000003E-2</v>
      </c>
      <c r="D1500">
        <v>-0.35497916299999999</v>
      </c>
      <c r="E1500">
        <v>7</v>
      </c>
      <c r="F1500">
        <v>47</v>
      </c>
      <c r="G1500">
        <v>16</v>
      </c>
      <c r="H1500">
        <v>1</v>
      </c>
      <c r="I1500">
        <v>0</v>
      </c>
      <c r="J1500">
        <v>31.540250780000001</v>
      </c>
      <c r="K1500">
        <v>25.644680019999999</v>
      </c>
      <c r="L1500">
        <v>25.644680019999999</v>
      </c>
      <c r="M1500">
        <v>3.244336128</v>
      </c>
      <c r="N1500">
        <v>1</v>
      </c>
      <c r="O1500">
        <v>3.244336128</v>
      </c>
    </row>
    <row r="1501" spans="1:15">
      <c r="A1501">
        <v>-2.2242617259999999</v>
      </c>
      <c r="B1501">
        <v>-1.109832361</v>
      </c>
      <c r="C1501">
        <v>-1.112130863</v>
      </c>
      <c r="D1501">
        <v>-2.3533354439999998</v>
      </c>
      <c r="E1501">
        <v>8</v>
      </c>
      <c r="F1501">
        <v>47</v>
      </c>
      <c r="G1501">
        <v>12</v>
      </c>
      <c r="H1501">
        <v>1</v>
      </c>
      <c r="I1501">
        <v>1</v>
      </c>
      <c r="J1501">
        <v>9.5599746700000008</v>
      </c>
      <c r="K1501">
        <v>9.0544300080000006</v>
      </c>
      <c r="N1501">
        <v>0</v>
      </c>
      <c r="O1501">
        <v>0</v>
      </c>
    </row>
    <row r="1502" spans="1:15">
      <c r="A1502">
        <v>1.6640724739999999</v>
      </c>
      <c r="B1502">
        <v>0.61159362500000003</v>
      </c>
      <c r="C1502">
        <v>0.83203623699999996</v>
      </c>
      <c r="D1502">
        <v>1.6052182690000001</v>
      </c>
      <c r="E1502">
        <v>9</v>
      </c>
      <c r="F1502">
        <v>40</v>
      </c>
      <c r="G1502">
        <v>16</v>
      </c>
      <c r="H1502">
        <v>1</v>
      </c>
      <c r="I1502">
        <v>4</v>
      </c>
      <c r="J1502">
        <v>72.262619020000002</v>
      </c>
      <c r="K1502">
        <v>34.984436039999999</v>
      </c>
      <c r="L1502">
        <v>34.984436039999999</v>
      </c>
      <c r="M1502">
        <v>3.554903269</v>
      </c>
      <c r="N1502">
        <v>1</v>
      </c>
      <c r="O1502">
        <v>3.554903269</v>
      </c>
    </row>
    <row r="1503" spans="1:15">
      <c r="A1503">
        <v>-4.9308894999999998E-2</v>
      </c>
      <c r="B1503">
        <v>-0.129079684</v>
      </c>
      <c r="C1503">
        <v>-2.4654447999999999E-2</v>
      </c>
      <c r="D1503">
        <v>-0.126408979</v>
      </c>
      <c r="E1503">
        <v>0</v>
      </c>
      <c r="F1503">
        <v>38</v>
      </c>
      <c r="G1503">
        <v>10</v>
      </c>
      <c r="H1503">
        <v>0</v>
      </c>
      <c r="I1503">
        <v>2</v>
      </c>
      <c r="J1503">
        <v>31.183092120000001</v>
      </c>
      <c r="K1503">
        <v>18.304145810000001</v>
      </c>
      <c r="L1503">
        <v>18.304145810000001</v>
      </c>
      <c r="M1503">
        <v>2.9071276190000002</v>
      </c>
      <c r="N1503">
        <v>1</v>
      </c>
      <c r="O1503">
        <v>2.9071276190000002</v>
      </c>
    </row>
    <row r="1504" spans="1:15">
      <c r="A1504">
        <v>-1.549580672</v>
      </c>
      <c r="B1504">
        <v>0.77570502900000005</v>
      </c>
      <c r="C1504">
        <v>-0.77479033600000002</v>
      </c>
      <c r="D1504">
        <v>-0.53888955000000005</v>
      </c>
      <c r="E1504">
        <v>1</v>
      </c>
      <c r="F1504">
        <v>32</v>
      </c>
      <c r="G1504">
        <v>16</v>
      </c>
      <c r="H1504">
        <v>0</v>
      </c>
      <c r="I1504">
        <v>2</v>
      </c>
      <c r="J1504">
        <v>28.333326339999999</v>
      </c>
      <c r="K1504">
        <v>14.102516169999999</v>
      </c>
      <c r="N1504">
        <v>0</v>
      </c>
      <c r="O1504">
        <v>0</v>
      </c>
    </row>
    <row r="1505" spans="1:15">
      <c r="A1505">
        <v>1.288237928</v>
      </c>
      <c r="B1505">
        <v>0.29409299300000002</v>
      </c>
      <c r="C1505">
        <v>0.64411896400000002</v>
      </c>
      <c r="D1505">
        <v>1.1152187570000001</v>
      </c>
      <c r="E1505">
        <v>2</v>
      </c>
      <c r="F1505">
        <v>27</v>
      </c>
      <c r="G1505">
        <v>10</v>
      </c>
      <c r="H1505">
        <v>0</v>
      </c>
      <c r="I1505">
        <v>3</v>
      </c>
      <c r="J1505">
        <v>46.682624820000001</v>
      </c>
      <c r="K1505">
        <v>24.12942696</v>
      </c>
      <c r="L1505">
        <v>24.12942696</v>
      </c>
      <c r="M1505">
        <v>3.1834321019999998</v>
      </c>
      <c r="N1505">
        <v>1</v>
      </c>
      <c r="O1505">
        <v>3.1834321019999998</v>
      </c>
    </row>
    <row r="1506" spans="1:15">
      <c r="A1506">
        <v>-0.87599139800000003</v>
      </c>
      <c r="B1506">
        <v>-7.0655709999999997E-2</v>
      </c>
      <c r="C1506">
        <v>-0.43799569900000002</v>
      </c>
      <c r="D1506">
        <v>-0.66644389000000004</v>
      </c>
      <c r="E1506">
        <v>3</v>
      </c>
      <c r="F1506">
        <v>26</v>
      </c>
      <c r="G1506">
        <v>10</v>
      </c>
      <c r="H1506">
        <v>0</v>
      </c>
      <c r="I1506">
        <v>4</v>
      </c>
      <c r="J1506">
        <v>29.902673719999999</v>
      </c>
      <c r="K1506">
        <v>10.944051740000001</v>
      </c>
      <c r="L1506">
        <v>10.944051740000001</v>
      </c>
      <c r="M1506">
        <v>2.3927960399999999</v>
      </c>
      <c r="N1506">
        <v>1</v>
      </c>
      <c r="O1506">
        <v>2.3927960399999999</v>
      </c>
    </row>
    <row r="1507" spans="1:15">
      <c r="A1507">
        <v>-1.783660182</v>
      </c>
      <c r="B1507">
        <v>0.576857442</v>
      </c>
      <c r="C1507">
        <v>-0.89183009099999999</v>
      </c>
      <c r="D1507">
        <v>-0.84485556799999995</v>
      </c>
      <c r="E1507">
        <v>4</v>
      </c>
      <c r="F1507">
        <v>30</v>
      </c>
      <c r="G1507">
        <v>16</v>
      </c>
      <c r="H1507">
        <v>0</v>
      </c>
      <c r="I1507">
        <v>2</v>
      </c>
      <c r="J1507">
        <v>23.861732480000001</v>
      </c>
      <c r="K1507">
        <v>12.298038480000001</v>
      </c>
      <c r="N1507">
        <v>0</v>
      </c>
      <c r="O1507">
        <v>0</v>
      </c>
    </row>
    <row r="1508" spans="1:15">
      <c r="A1508">
        <v>-5.2314867000000001E-2</v>
      </c>
      <c r="B1508">
        <v>0.17964480299999999</v>
      </c>
      <c r="C1508">
        <v>-2.6157433000000001E-2</v>
      </c>
      <c r="D1508">
        <v>9.0849845999999998E-2</v>
      </c>
      <c r="E1508">
        <v>5</v>
      </c>
      <c r="F1508">
        <v>45</v>
      </c>
      <c r="G1508">
        <v>12</v>
      </c>
      <c r="H1508">
        <v>1</v>
      </c>
      <c r="I1508">
        <v>0</v>
      </c>
      <c r="J1508">
        <v>33.090198520000001</v>
      </c>
      <c r="K1508">
        <v>21.686111449999999</v>
      </c>
      <c r="L1508">
        <v>21.686111449999999</v>
      </c>
      <c r="M1508">
        <v>3.076672077</v>
      </c>
      <c r="N1508">
        <v>1</v>
      </c>
      <c r="O1508">
        <v>3.076672077</v>
      </c>
    </row>
    <row r="1509" spans="1:15">
      <c r="A1509">
        <v>-1.774218007</v>
      </c>
      <c r="B1509">
        <v>-0.39929285599999997</v>
      </c>
      <c r="C1509">
        <v>-0.88710900400000003</v>
      </c>
      <c r="D1509">
        <v>-1.531846128</v>
      </c>
      <c r="E1509">
        <v>6</v>
      </c>
      <c r="F1509">
        <v>32</v>
      </c>
      <c r="G1509">
        <v>16</v>
      </c>
      <c r="H1509">
        <v>1</v>
      </c>
      <c r="I1509">
        <v>1</v>
      </c>
      <c r="J1509">
        <v>16.41784668</v>
      </c>
      <c r="K1509">
        <v>12.75469208</v>
      </c>
      <c r="N1509">
        <v>0</v>
      </c>
      <c r="O1509">
        <v>0</v>
      </c>
    </row>
    <row r="1510" spans="1:15">
      <c r="A1510">
        <v>1.762172353</v>
      </c>
      <c r="B1510">
        <v>0.81059969499999995</v>
      </c>
      <c r="C1510">
        <v>0.88108617700000003</v>
      </c>
      <c r="D1510">
        <v>1.8156387380000001</v>
      </c>
      <c r="E1510">
        <v>7</v>
      </c>
      <c r="F1510">
        <v>35</v>
      </c>
      <c r="G1510">
        <v>12</v>
      </c>
      <c r="H1510">
        <v>1</v>
      </c>
      <c r="I1510">
        <v>1</v>
      </c>
      <c r="J1510">
        <v>54.78766632</v>
      </c>
      <c r="K1510">
        <v>30.573034289999999</v>
      </c>
      <c r="L1510">
        <v>30.573034289999999</v>
      </c>
      <c r="M1510">
        <v>3.4201183319999999</v>
      </c>
      <c r="N1510">
        <v>1</v>
      </c>
      <c r="O1510">
        <v>3.4201183319999999</v>
      </c>
    </row>
    <row r="1511" spans="1:15">
      <c r="A1511">
        <v>0.38156162300000002</v>
      </c>
      <c r="B1511">
        <v>0.449476247</v>
      </c>
      <c r="C1511">
        <v>0.19078081199999999</v>
      </c>
      <c r="D1511">
        <v>0.58780759599999999</v>
      </c>
      <c r="E1511">
        <v>8</v>
      </c>
      <c r="F1511">
        <v>37</v>
      </c>
      <c r="G1511">
        <v>20</v>
      </c>
      <c r="H1511">
        <v>1</v>
      </c>
      <c r="I1511">
        <v>0</v>
      </c>
      <c r="J1511">
        <v>41.853691099999999</v>
      </c>
      <c r="K1511">
        <v>30.689369200000002</v>
      </c>
      <c r="L1511">
        <v>30.689369200000002</v>
      </c>
      <c r="M1511">
        <v>3.4239163399999999</v>
      </c>
      <c r="N1511">
        <v>1</v>
      </c>
      <c r="O1511">
        <v>3.4239163399999999</v>
      </c>
    </row>
    <row r="1512" spans="1:15">
      <c r="A1512">
        <v>1.90528542</v>
      </c>
      <c r="B1512">
        <v>0.41926745599999998</v>
      </c>
      <c r="C1512">
        <v>0.95264271</v>
      </c>
      <c r="D1512">
        <v>1.6382422240000001</v>
      </c>
      <c r="E1512">
        <v>9</v>
      </c>
      <c r="F1512">
        <v>42</v>
      </c>
      <c r="G1512">
        <v>16</v>
      </c>
      <c r="H1512">
        <v>1</v>
      </c>
      <c r="I1512">
        <v>4</v>
      </c>
      <c r="J1512">
        <v>73.45890808</v>
      </c>
      <c r="K1512">
        <v>36.831710819999998</v>
      </c>
      <c r="L1512">
        <v>36.831710819999998</v>
      </c>
      <c r="M1512">
        <v>3.606359243</v>
      </c>
      <c r="N1512">
        <v>1</v>
      </c>
      <c r="O1512">
        <v>3.606359243</v>
      </c>
    </row>
    <row r="1513" spans="1:15">
      <c r="A1513">
        <v>-0.936220155</v>
      </c>
      <c r="B1513">
        <v>-0.56334240899999999</v>
      </c>
      <c r="C1513">
        <v>-0.46811007799999999</v>
      </c>
      <c r="D1513">
        <v>-1.058906586</v>
      </c>
      <c r="E1513">
        <v>0</v>
      </c>
      <c r="F1513">
        <v>40</v>
      </c>
      <c r="G1513">
        <v>10</v>
      </c>
      <c r="H1513">
        <v>0</v>
      </c>
      <c r="I1513">
        <v>1</v>
      </c>
      <c r="J1513">
        <v>15.793121340000001</v>
      </c>
      <c r="K1513">
        <v>13.38267899</v>
      </c>
      <c r="N1513">
        <v>0</v>
      </c>
      <c r="O1513">
        <v>0</v>
      </c>
    </row>
    <row r="1514" spans="1:15">
      <c r="A1514">
        <v>0.77726655700000002</v>
      </c>
      <c r="B1514">
        <v>-1.0631304530000001</v>
      </c>
      <c r="C1514">
        <v>0.38863327800000003</v>
      </c>
      <c r="D1514">
        <v>-0.208652271</v>
      </c>
      <c r="E1514">
        <v>1</v>
      </c>
      <c r="F1514">
        <v>28</v>
      </c>
      <c r="G1514">
        <v>10</v>
      </c>
      <c r="H1514">
        <v>0</v>
      </c>
      <c r="I1514">
        <v>3</v>
      </c>
      <c r="J1514">
        <v>31.196172709999999</v>
      </c>
      <c r="K1514">
        <v>21.2635994</v>
      </c>
      <c r="L1514">
        <v>21.2635994</v>
      </c>
      <c r="M1514">
        <v>3.0569965840000002</v>
      </c>
      <c r="N1514">
        <v>1</v>
      </c>
      <c r="O1514">
        <v>3.0569965840000002</v>
      </c>
    </row>
    <row r="1515" spans="1:15">
      <c r="A1515">
        <v>-0.100136668</v>
      </c>
      <c r="B1515">
        <v>-7.9981231999999999E-2</v>
      </c>
      <c r="C1515">
        <v>-5.0068333999999999E-2</v>
      </c>
      <c r="D1515">
        <v>-0.127276628</v>
      </c>
      <c r="E1515">
        <v>2</v>
      </c>
      <c r="F1515">
        <v>24</v>
      </c>
      <c r="G1515">
        <v>10</v>
      </c>
      <c r="H1515">
        <v>1</v>
      </c>
      <c r="I1515">
        <v>1</v>
      </c>
      <c r="J1515">
        <v>25.572679520000001</v>
      </c>
      <c r="K1515">
        <v>15.19917965</v>
      </c>
      <c r="N1515">
        <v>0</v>
      </c>
      <c r="O1515">
        <v>0</v>
      </c>
    </row>
    <row r="1516" spans="1:15">
      <c r="A1516">
        <v>-2.4859354749999998</v>
      </c>
      <c r="B1516">
        <v>-1.33407038</v>
      </c>
      <c r="C1516">
        <v>-1.2429677370000001</v>
      </c>
      <c r="D1516">
        <v>-2.6967552299999999</v>
      </c>
      <c r="E1516">
        <v>3</v>
      </c>
      <c r="F1516">
        <v>26</v>
      </c>
      <c r="G1516">
        <v>10</v>
      </c>
      <c r="H1516">
        <v>1</v>
      </c>
      <c r="I1516">
        <v>1</v>
      </c>
      <c r="J1516">
        <v>-4.4610629079999997</v>
      </c>
      <c r="K1516">
        <v>1.2843871120000001</v>
      </c>
      <c r="N1516">
        <v>0</v>
      </c>
      <c r="O1516">
        <v>0</v>
      </c>
    </row>
    <row r="1517" spans="1:15">
      <c r="A1517">
        <v>0.42208517899999998</v>
      </c>
      <c r="B1517">
        <v>-4.9835305000000003E-2</v>
      </c>
      <c r="C1517">
        <v>0.21104259</v>
      </c>
      <c r="D1517">
        <v>0.26151406599999999</v>
      </c>
      <c r="E1517">
        <v>4</v>
      </c>
      <c r="F1517">
        <v>30</v>
      </c>
      <c r="G1517">
        <v>10</v>
      </c>
      <c r="H1517">
        <v>0</v>
      </c>
      <c r="I1517">
        <v>1</v>
      </c>
      <c r="J1517">
        <v>27.638168329999999</v>
      </c>
      <c r="K1517">
        <v>19.532510760000001</v>
      </c>
      <c r="N1517">
        <v>0</v>
      </c>
      <c r="O1517">
        <v>0</v>
      </c>
    </row>
    <row r="1518" spans="1:15">
      <c r="A1518">
        <v>-0.43674132700000001</v>
      </c>
      <c r="B1518">
        <v>-1.748425764</v>
      </c>
      <c r="C1518">
        <v>-0.21837066299999999</v>
      </c>
      <c r="D1518">
        <v>-1.5496326520000001</v>
      </c>
      <c r="E1518">
        <v>5</v>
      </c>
      <c r="F1518">
        <v>30</v>
      </c>
      <c r="G1518">
        <v>16</v>
      </c>
      <c r="H1518">
        <v>0</v>
      </c>
      <c r="I1518">
        <v>3</v>
      </c>
      <c r="J1518">
        <v>20.404407500000001</v>
      </c>
      <c r="K1518">
        <v>20.379552839999999</v>
      </c>
      <c r="N1518">
        <v>0</v>
      </c>
      <c r="O1518">
        <v>0</v>
      </c>
    </row>
    <row r="1519" spans="1:15">
      <c r="A1519">
        <v>-0.16562370600000001</v>
      </c>
      <c r="B1519">
        <v>-1.6875882900000001</v>
      </c>
      <c r="C1519">
        <v>-8.2811853000000005E-2</v>
      </c>
      <c r="D1519">
        <v>-1.3156785049999999</v>
      </c>
      <c r="E1519">
        <v>6</v>
      </c>
      <c r="F1519">
        <v>42</v>
      </c>
      <c r="G1519">
        <v>10</v>
      </c>
      <c r="H1519">
        <v>1</v>
      </c>
      <c r="I1519">
        <v>3</v>
      </c>
      <c r="J1519">
        <v>28.511857989999999</v>
      </c>
      <c r="K1519">
        <v>18.406257629999999</v>
      </c>
      <c r="N1519">
        <v>0</v>
      </c>
      <c r="O1519">
        <v>0</v>
      </c>
    </row>
    <row r="1520" spans="1:15">
      <c r="A1520">
        <v>1.401761144</v>
      </c>
      <c r="B1520">
        <v>-1.457134548</v>
      </c>
      <c r="C1520">
        <v>0.70088057199999998</v>
      </c>
      <c r="D1520">
        <v>-4.9307867999999998E-2</v>
      </c>
      <c r="E1520">
        <v>7</v>
      </c>
      <c r="F1520">
        <v>50</v>
      </c>
      <c r="G1520">
        <v>12</v>
      </c>
      <c r="H1520">
        <v>1</v>
      </c>
      <c r="I1520">
        <v>1</v>
      </c>
      <c r="J1520">
        <v>38.408306119999999</v>
      </c>
      <c r="K1520">
        <v>31.410566330000002</v>
      </c>
      <c r="L1520">
        <v>31.410566330000002</v>
      </c>
      <c r="M1520">
        <v>3.4471442699999999</v>
      </c>
      <c r="N1520">
        <v>1</v>
      </c>
      <c r="O1520">
        <v>3.4471442699999999</v>
      </c>
    </row>
    <row r="1521" spans="1:15">
      <c r="A1521">
        <v>0.43988971100000002</v>
      </c>
      <c r="B1521">
        <v>-1.007843346</v>
      </c>
      <c r="C1521">
        <v>0.21994485599999999</v>
      </c>
      <c r="D1521">
        <v>-0.40670226700000001</v>
      </c>
      <c r="E1521">
        <v>8</v>
      </c>
      <c r="F1521">
        <v>43</v>
      </c>
      <c r="G1521">
        <v>16</v>
      </c>
      <c r="H1521">
        <v>1</v>
      </c>
      <c r="I1521">
        <v>1</v>
      </c>
      <c r="J1521">
        <v>34.319572450000003</v>
      </c>
      <c r="K1521">
        <v>28.239337920000001</v>
      </c>
      <c r="L1521">
        <v>28.239337920000001</v>
      </c>
      <c r="M1521">
        <v>3.3407158849999998</v>
      </c>
      <c r="N1521">
        <v>1</v>
      </c>
      <c r="O1521">
        <v>3.3407158849999998</v>
      </c>
    </row>
    <row r="1522" spans="1:15">
      <c r="A1522">
        <v>0.41648204300000002</v>
      </c>
      <c r="B1522">
        <v>-1.0777215229999999</v>
      </c>
      <c r="C1522">
        <v>0.208241021</v>
      </c>
      <c r="D1522">
        <v>-0.47282299300000002</v>
      </c>
      <c r="E1522">
        <v>9</v>
      </c>
      <c r="F1522">
        <v>38</v>
      </c>
      <c r="G1522">
        <v>16</v>
      </c>
      <c r="H1522">
        <v>1</v>
      </c>
      <c r="I1522">
        <v>1</v>
      </c>
      <c r="J1522">
        <v>31.52612495</v>
      </c>
      <c r="K1522">
        <v>27.098892209999999</v>
      </c>
      <c r="L1522">
        <v>27.098892209999999</v>
      </c>
      <c r="M1522">
        <v>3.2994928360000002</v>
      </c>
      <c r="N1522">
        <v>1</v>
      </c>
      <c r="O1522">
        <v>3.2994928360000002</v>
      </c>
    </row>
    <row r="1523" spans="1:15">
      <c r="A1523">
        <v>1.16330943</v>
      </c>
      <c r="B1523">
        <v>0.12097714699999999</v>
      </c>
      <c r="C1523">
        <v>0.58165471499999999</v>
      </c>
      <c r="D1523">
        <v>0.90432212199999995</v>
      </c>
      <c r="E1523">
        <v>0</v>
      </c>
      <c r="F1523">
        <v>25</v>
      </c>
      <c r="G1523">
        <v>10</v>
      </c>
      <c r="H1523">
        <v>0</v>
      </c>
      <c r="I1523">
        <v>1</v>
      </c>
      <c r="J1523">
        <v>33.351863860000002</v>
      </c>
      <c r="K1523">
        <v>22.97985649</v>
      </c>
      <c r="L1523">
        <v>22.97985649</v>
      </c>
      <c r="M1523">
        <v>3.1346180440000002</v>
      </c>
      <c r="N1523">
        <v>1</v>
      </c>
      <c r="O1523">
        <v>3.1346180440000002</v>
      </c>
    </row>
    <row r="1524" spans="1:15">
      <c r="A1524">
        <v>-0.30186583700000003</v>
      </c>
      <c r="B1524">
        <v>3.1798420000000001E-2</v>
      </c>
      <c r="C1524">
        <v>-0.150932918</v>
      </c>
      <c r="D1524">
        <v>-0.18975950899999999</v>
      </c>
      <c r="E1524">
        <v>1</v>
      </c>
      <c r="F1524">
        <v>27</v>
      </c>
      <c r="G1524">
        <v>10</v>
      </c>
      <c r="H1524">
        <v>1</v>
      </c>
      <c r="I1524">
        <v>3</v>
      </c>
      <c r="J1524">
        <v>36.02288437</v>
      </c>
      <c r="K1524">
        <v>14.588805199999999</v>
      </c>
      <c r="L1524">
        <v>14.588805199999999</v>
      </c>
      <c r="M1524">
        <v>2.6802544589999999</v>
      </c>
      <c r="N1524">
        <v>1</v>
      </c>
      <c r="O1524">
        <v>2.6802544589999999</v>
      </c>
    </row>
    <row r="1525" spans="1:15">
      <c r="A1525">
        <v>1.738765917</v>
      </c>
      <c r="B1525">
        <v>0.34247623700000002</v>
      </c>
      <c r="C1525">
        <v>0.86938295799999998</v>
      </c>
      <c r="D1525">
        <v>1.4665337430000001</v>
      </c>
      <c r="E1525">
        <v>2</v>
      </c>
      <c r="F1525">
        <v>25</v>
      </c>
      <c r="G1525">
        <v>10</v>
      </c>
      <c r="H1525">
        <v>1</v>
      </c>
      <c r="I1525">
        <v>4</v>
      </c>
      <c r="J1525">
        <v>60.098403930000003</v>
      </c>
      <c r="K1525">
        <v>26.43259621</v>
      </c>
      <c r="L1525">
        <v>26.43259621</v>
      </c>
      <c r="M1525">
        <v>3.2745978830000002</v>
      </c>
      <c r="N1525">
        <v>1</v>
      </c>
      <c r="O1525">
        <v>3.2745978830000002</v>
      </c>
    </row>
    <row r="1526" spans="1:15">
      <c r="A1526">
        <v>-0.54200552300000004</v>
      </c>
      <c r="B1526">
        <v>-1.5685698889999999</v>
      </c>
      <c r="C1526">
        <v>-0.27100276099999998</v>
      </c>
      <c r="D1526">
        <v>-1.4958813099999999</v>
      </c>
      <c r="E1526">
        <v>3</v>
      </c>
      <c r="F1526">
        <v>38</v>
      </c>
      <c r="G1526">
        <v>10</v>
      </c>
      <c r="H1526">
        <v>0</v>
      </c>
      <c r="I1526">
        <v>2</v>
      </c>
      <c r="J1526">
        <v>14.74942398</v>
      </c>
      <c r="K1526">
        <v>15.347967150000001</v>
      </c>
      <c r="N1526">
        <v>0</v>
      </c>
      <c r="O1526">
        <v>0</v>
      </c>
    </row>
    <row r="1527" spans="1:15">
      <c r="A1527">
        <v>-0.64661797899999995</v>
      </c>
      <c r="B1527">
        <v>-6.1725902999999999E-2</v>
      </c>
      <c r="C1527">
        <v>-0.32330898899999999</v>
      </c>
      <c r="D1527">
        <v>-0.49874026300000002</v>
      </c>
      <c r="E1527">
        <v>4</v>
      </c>
      <c r="F1527">
        <v>41</v>
      </c>
      <c r="G1527">
        <v>16</v>
      </c>
      <c r="H1527">
        <v>1</v>
      </c>
      <c r="I1527">
        <v>2</v>
      </c>
      <c r="J1527">
        <v>37.415115360000001</v>
      </c>
      <c r="K1527">
        <v>21.320291520000001</v>
      </c>
      <c r="L1527">
        <v>21.320291520000001</v>
      </c>
      <c r="M1527">
        <v>3.059659243</v>
      </c>
      <c r="N1527">
        <v>1</v>
      </c>
      <c r="O1527">
        <v>3.059659243</v>
      </c>
    </row>
    <row r="1528" spans="1:15">
      <c r="A1528">
        <v>0.25266237200000002</v>
      </c>
      <c r="B1528">
        <v>1.029937382</v>
      </c>
      <c r="C1528">
        <v>0.12633118600000001</v>
      </c>
      <c r="D1528">
        <v>0.90959437499999996</v>
      </c>
      <c r="E1528">
        <v>5</v>
      </c>
      <c r="F1528">
        <v>34</v>
      </c>
      <c r="G1528">
        <v>12</v>
      </c>
      <c r="H1528">
        <v>1</v>
      </c>
      <c r="I1528">
        <v>1</v>
      </c>
      <c r="J1528">
        <v>43.515132899999998</v>
      </c>
      <c r="K1528">
        <v>21.315973280000001</v>
      </c>
      <c r="L1528">
        <v>21.315973280000001</v>
      </c>
      <c r="M1528">
        <v>3.0594568249999998</v>
      </c>
      <c r="N1528">
        <v>1</v>
      </c>
      <c r="O1528">
        <v>3.0594568249999998</v>
      </c>
    </row>
    <row r="1529" spans="1:15">
      <c r="A1529">
        <v>1.517348659</v>
      </c>
      <c r="B1529">
        <v>-1.0015507619999999</v>
      </c>
      <c r="C1529">
        <v>0.75867432899999998</v>
      </c>
      <c r="D1529">
        <v>0.35573369700000002</v>
      </c>
      <c r="E1529">
        <v>6</v>
      </c>
      <c r="F1529">
        <v>38</v>
      </c>
      <c r="G1529">
        <v>16</v>
      </c>
      <c r="H1529">
        <v>0</v>
      </c>
      <c r="I1529">
        <v>3</v>
      </c>
      <c r="J1529">
        <v>46.46880341</v>
      </c>
      <c r="K1529">
        <v>33.704090119999996</v>
      </c>
      <c r="L1529">
        <v>33.704090119999996</v>
      </c>
      <c r="M1529">
        <v>3.5176191330000002</v>
      </c>
      <c r="N1529">
        <v>1</v>
      </c>
      <c r="O1529">
        <v>3.5176191330000002</v>
      </c>
    </row>
    <row r="1530" spans="1:15">
      <c r="A1530">
        <v>2.755670877</v>
      </c>
      <c r="B1530">
        <v>-0.472493312</v>
      </c>
      <c r="C1530">
        <v>1.377835438</v>
      </c>
      <c r="D1530">
        <v>1.6027990860000001</v>
      </c>
      <c r="E1530">
        <v>7</v>
      </c>
      <c r="F1530">
        <v>55</v>
      </c>
      <c r="G1530">
        <v>16</v>
      </c>
      <c r="H1530">
        <v>1</v>
      </c>
      <c r="I1530">
        <v>1</v>
      </c>
      <c r="J1530">
        <v>63.233589170000002</v>
      </c>
      <c r="K1530">
        <v>44.534027100000003</v>
      </c>
      <c r="L1530">
        <v>44.534027100000003</v>
      </c>
      <c r="M1530">
        <v>3.7962534429999999</v>
      </c>
      <c r="N1530">
        <v>1</v>
      </c>
      <c r="O1530">
        <v>3.7962534429999999</v>
      </c>
    </row>
    <row r="1531" spans="1:15">
      <c r="A1531">
        <v>-1.0493233790000001</v>
      </c>
      <c r="B1531">
        <v>-0.47092043500000003</v>
      </c>
      <c r="C1531">
        <v>-0.52466168999999996</v>
      </c>
      <c r="D1531">
        <v>-1.0727985790000001</v>
      </c>
      <c r="E1531">
        <v>8</v>
      </c>
      <c r="F1531">
        <v>42</v>
      </c>
      <c r="G1531">
        <v>16</v>
      </c>
      <c r="H1531">
        <v>1</v>
      </c>
      <c r="I1531">
        <v>2</v>
      </c>
      <c r="J1531">
        <v>30.926416400000001</v>
      </c>
      <c r="K1531">
        <v>19.10405922</v>
      </c>
      <c r="L1531">
        <v>19.10405922</v>
      </c>
      <c r="M1531">
        <v>2.9499008660000001</v>
      </c>
      <c r="N1531">
        <v>1</v>
      </c>
      <c r="O1531">
        <v>2.9499008660000001</v>
      </c>
    </row>
    <row r="1532" spans="1:15">
      <c r="A1532">
        <v>1.4528953339999999</v>
      </c>
      <c r="B1532">
        <v>-2.282267E-2</v>
      </c>
      <c r="C1532">
        <v>0.72644766699999996</v>
      </c>
      <c r="D1532">
        <v>1.005857062</v>
      </c>
      <c r="E1532">
        <v>9</v>
      </c>
      <c r="F1532">
        <v>42</v>
      </c>
      <c r="G1532">
        <v>16</v>
      </c>
      <c r="H1532">
        <v>1</v>
      </c>
      <c r="I1532">
        <v>3</v>
      </c>
      <c r="J1532">
        <v>60.870285029999998</v>
      </c>
      <c r="K1532">
        <v>34.117370610000002</v>
      </c>
      <c r="L1532">
        <v>34.117370610000002</v>
      </c>
      <c r="M1532">
        <v>3.529806614</v>
      </c>
      <c r="N1532">
        <v>1</v>
      </c>
      <c r="O1532">
        <v>3.529806614</v>
      </c>
    </row>
    <row r="1533" spans="1:15">
      <c r="A1533">
        <v>1.563064668</v>
      </c>
      <c r="B1533">
        <v>-1.6908722979999999</v>
      </c>
      <c r="C1533">
        <v>0.781532334</v>
      </c>
      <c r="D1533">
        <v>-0.101924371</v>
      </c>
      <c r="E1533">
        <v>0</v>
      </c>
      <c r="F1533">
        <v>36</v>
      </c>
      <c r="G1533">
        <v>12</v>
      </c>
      <c r="H1533">
        <v>0</v>
      </c>
      <c r="I1533">
        <v>3</v>
      </c>
      <c r="J1533">
        <v>37.176906590000002</v>
      </c>
      <c r="K1533">
        <v>29.57838821</v>
      </c>
      <c r="L1533">
        <v>29.57838821</v>
      </c>
      <c r="M1533">
        <v>3.3870439530000001</v>
      </c>
      <c r="N1533">
        <v>1</v>
      </c>
      <c r="O1533">
        <v>3.3870439530000001</v>
      </c>
    </row>
    <row r="1534" spans="1:15">
      <c r="A1534">
        <v>0.118875257</v>
      </c>
      <c r="B1534">
        <v>-1.620152252</v>
      </c>
      <c r="C1534">
        <v>5.9437628999999999E-2</v>
      </c>
      <c r="D1534">
        <v>-1.067622123</v>
      </c>
      <c r="E1534">
        <v>1</v>
      </c>
      <c r="F1534">
        <v>43</v>
      </c>
      <c r="G1534">
        <v>12</v>
      </c>
      <c r="H1534">
        <v>0</v>
      </c>
      <c r="I1534">
        <v>2</v>
      </c>
      <c r="J1534">
        <v>23.388534549999999</v>
      </c>
      <c r="K1534">
        <v>22.3132515</v>
      </c>
      <c r="N1534">
        <v>0</v>
      </c>
      <c r="O1534">
        <v>0</v>
      </c>
    </row>
    <row r="1535" spans="1:15">
      <c r="A1535">
        <v>1.3814978179999999</v>
      </c>
      <c r="B1535">
        <v>-1.5400308540000001</v>
      </c>
      <c r="C1535">
        <v>0.69074890899999997</v>
      </c>
      <c r="D1535">
        <v>-0.12246705300000001</v>
      </c>
      <c r="E1535">
        <v>2</v>
      </c>
      <c r="F1535">
        <v>32</v>
      </c>
      <c r="G1535">
        <v>16</v>
      </c>
      <c r="H1535">
        <v>1</v>
      </c>
      <c r="I1535">
        <v>4</v>
      </c>
      <c r="J1535">
        <v>48.330394740000003</v>
      </c>
      <c r="K1535">
        <v>31.688987730000001</v>
      </c>
      <c r="L1535">
        <v>31.688987730000001</v>
      </c>
      <c r="M1535">
        <v>3.4559693340000002</v>
      </c>
      <c r="N1535">
        <v>1</v>
      </c>
      <c r="O1535">
        <v>3.4559693340000002</v>
      </c>
    </row>
    <row r="1536" spans="1:15">
      <c r="A1536">
        <v>1.637219465</v>
      </c>
      <c r="B1536">
        <v>0.55011395799999996</v>
      </c>
      <c r="C1536">
        <v>0.81860973299999995</v>
      </c>
      <c r="D1536">
        <v>1.5426416469999999</v>
      </c>
      <c r="E1536">
        <v>3</v>
      </c>
      <c r="F1536">
        <v>31</v>
      </c>
      <c r="G1536">
        <v>16</v>
      </c>
      <c r="H1536">
        <v>0</v>
      </c>
      <c r="I1536">
        <v>2</v>
      </c>
      <c r="J1536">
        <v>52.911701200000003</v>
      </c>
      <c r="K1536">
        <v>33.023315429999997</v>
      </c>
      <c r="L1536">
        <v>33.023315429999997</v>
      </c>
      <c r="M1536">
        <v>3.4972138400000001</v>
      </c>
      <c r="N1536">
        <v>1</v>
      </c>
      <c r="O1536">
        <v>3.4972138400000001</v>
      </c>
    </row>
    <row r="1537" spans="1:15">
      <c r="A1537">
        <v>-0.32501868499999997</v>
      </c>
      <c r="B1537">
        <v>-1.0694226229999999</v>
      </c>
      <c r="C1537">
        <v>-0.162509342</v>
      </c>
      <c r="D1537">
        <v>-0.98855259799999995</v>
      </c>
      <c r="E1537">
        <v>4</v>
      </c>
      <c r="F1537">
        <v>28</v>
      </c>
      <c r="G1537">
        <v>10</v>
      </c>
      <c r="H1537">
        <v>0</v>
      </c>
      <c r="I1537">
        <v>3</v>
      </c>
      <c r="J1537">
        <v>21.837368009999999</v>
      </c>
      <c r="K1537">
        <v>14.64988804</v>
      </c>
      <c r="N1537">
        <v>0</v>
      </c>
      <c r="O1537">
        <v>0</v>
      </c>
    </row>
    <row r="1538" spans="1:15">
      <c r="A1538">
        <v>-0.95584773700000003</v>
      </c>
      <c r="B1538">
        <v>1.078027574</v>
      </c>
      <c r="C1538">
        <v>-0.477923869</v>
      </c>
      <c r="D1538">
        <v>9.3610611999999996E-2</v>
      </c>
      <c r="E1538">
        <v>5</v>
      </c>
      <c r="F1538">
        <v>31</v>
      </c>
      <c r="G1538">
        <v>16</v>
      </c>
      <c r="H1538">
        <v>1</v>
      </c>
      <c r="I1538">
        <v>1</v>
      </c>
      <c r="J1538">
        <v>35.523326869999998</v>
      </c>
      <c r="K1538">
        <v>17.464914319999998</v>
      </c>
      <c r="L1538">
        <v>17.464914319999998</v>
      </c>
      <c r="M1538">
        <v>2.8601939679999999</v>
      </c>
      <c r="N1538">
        <v>1</v>
      </c>
      <c r="O1538">
        <v>2.8601939679999999</v>
      </c>
    </row>
    <row r="1539" spans="1:15">
      <c r="A1539">
        <v>1.9294889669999999</v>
      </c>
      <c r="B1539">
        <v>-1.448345134</v>
      </c>
      <c r="C1539">
        <v>0.96474448400000001</v>
      </c>
      <c r="D1539">
        <v>0.32818062599999998</v>
      </c>
      <c r="E1539">
        <v>6</v>
      </c>
      <c r="F1539">
        <v>34</v>
      </c>
      <c r="G1539">
        <v>12</v>
      </c>
      <c r="H1539">
        <v>0</v>
      </c>
      <c r="I1539">
        <v>3</v>
      </c>
      <c r="J1539">
        <v>41.538166050000001</v>
      </c>
      <c r="K1539">
        <v>31.376934049999999</v>
      </c>
      <c r="L1539">
        <v>31.376934049999999</v>
      </c>
      <c r="M1539">
        <v>3.4460730549999998</v>
      </c>
      <c r="N1539">
        <v>1</v>
      </c>
      <c r="O1539">
        <v>3.4460730549999998</v>
      </c>
    </row>
    <row r="1540" spans="1:15">
      <c r="A1540">
        <v>-0.33581244300000002</v>
      </c>
      <c r="B1540">
        <v>-0.97674328499999996</v>
      </c>
      <c r="C1540">
        <v>-0.16790622199999999</v>
      </c>
      <c r="D1540">
        <v>-0.93028964400000003</v>
      </c>
      <c r="E1540">
        <v>7</v>
      </c>
      <c r="F1540">
        <v>36</v>
      </c>
      <c r="G1540">
        <v>12</v>
      </c>
      <c r="H1540">
        <v>1</v>
      </c>
      <c r="I1540">
        <v>4</v>
      </c>
      <c r="J1540">
        <v>37.236522669999999</v>
      </c>
      <c r="K1540">
        <v>18.18512535</v>
      </c>
      <c r="L1540">
        <v>18.18512535</v>
      </c>
      <c r="M1540">
        <v>2.9006040099999999</v>
      </c>
      <c r="N1540">
        <v>1</v>
      </c>
      <c r="O1540">
        <v>2.9006040099999999</v>
      </c>
    </row>
    <row r="1541" spans="1:15">
      <c r="A1541">
        <v>0.743303045</v>
      </c>
      <c r="B1541">
        <v>-0.10870265699999999</v>
      </c>
      <c r="C1541">
        <v>0.37165152200000001</v>
      </c>
      <c r="D1541">
        <v>0.44565258600000002</v>
      </c>
      <c r="E1541">
        <v>8</v>
      </c>
      <c r="F1541">
        <v>41</v>
      </c>
      <c r="G1541">
        <v>16</v>
      </c>
      <c r="H1541">
        <v>1</v>
      </c>
      <c r="I1541">
        <v>2</v>
      </c>
      <c r="J1541">
        <v>48.747829439999997</v>
      </c>
      <c r="K1541">
        <v>29.659818649999998</v>
      </c>
      <c r="L1541">
        <v>29.659818649999998</v>
      </c>
      <c r="M1541">
        <v>3.3897931579999998</v>
      </c>
      <c r="N1541">
        <v>1</v>
      </c>
      <c r="O1541">
        <v>3.3897931579999998</v>
      </c>
    </row>
    <row r="1542" spans="1:15">
      <c r="A1542">
        <v>0.31880800199999998</v>
      </c>
      <c r="B1542">
        <v>0.34874104299999997</v>
      </c>
      <c r="C1542">
        <v>0.15940400099999999</v>
      </c>
      <c r="D1542">
        <v>0.47208161999999998</v>
      </c>
      <c r="E1542">
        <v>9</v>
      </c>
      <c r="F1542">
        <v>51</v>
      </c>
      <c r="G1542">
        <v>16</v>
      </c>
      <c r="H1542">
        <v>1</v>
      </c>
      <c r="I1542">
        <v>0</v>
      </c>
      <c r="J1542">
        <v>43.064979549999997</v>
      </c>
      <c r="K1542">
        <v>29.112848280000001</v>
      </c>
      <c r="L1542">
        <v>29.112848280000001</v>
      </c>
      <c r="M1542">
        <v>3.3711795809999998</v>
      </c>
      <c r="N1542">
        <v>1</v>
      </c>
      <c r="O1542">
        <v>3.3711795809999998</v>
      </c>
    </row>
    <row r="1543" spans="1:15">
      <c r="A1543">
        <v>0.79486737600000001</v>
      </c>
      <c r="B1543">
        <v>1.3727187300000001</v>
      </c>
      <c r="C1543">
        <v>0.39743368800000001</v>
      </c>
      <c r="D1543">
        <v>1.5345951840000001</v>
      </c>
      <c r="E1543">
        <v>0</v>
      </c>
      <c r="F1543">
        <v>20</v>
      </c>
      <c r="G1543">
        <v>10</v>
      </c>
      <c r="H1543">
        <v>0</v>
      </c>
      <c r="I1543">
        <v>3</v>
      </c>
      <c r="J1543">
        <v>48.915142060000001</v>
      </c>
      <c r="K1543">
        <v>19.76920509</v>
      </c>
      <c r="L1543">
        <v>19.76920509</v>
      </c>
      <c r="M1543">
        <v>2.9841253760000002</v>
      </c>
      <c r="N1543">
        <v>1</v>
      </c>
      <c r="O1543">
        <v>2.9841253760000002</v>
      </c>
    </row>
    <row r="1544" spans="1:15">
      <c r="A1544">
        <v>0.47795365000000001</v>
      </c>
      <c r="B1544">
        <v>0.81504190099999996</v>
      </c>
      <c r="C1544">
        <v>0.238976825</v>
      </c>
      <c r="D1544">
        <v>0.91538054599999996</v>
      </c>
      <c r="E1544">
        <v>1</v>
      </c>
      <c r="F1544">
        <v>51</v>
      </c>
      <c r="G1544">
        <v>10</v>
      </c>
      <c r="H1544">
        <v>0</v>
      </c>
      <c r="I1544">
        <v>2</v>
      </c>
      <c r="J1544">
        <v>48.884567259999997</v>
      </c>
      <c r="K1544">
        <v>24.067722320000001</v>
      </c>
      <c r="L1544">
        <v>24.067722320000001</v>
      </c>
      <c r="M1544">
        <v>3.1808717249999998</v>
      </c>
      <c r="N1544">
        <v>1</v>
      </c>
      <c r="O1544">
        <v>3.1808717249999998</v>
      </c>
    </row>
    <row r="1545" spans="1:15">
      <c r="A1545">
        <v>-0.21194332399999999</v>
      </c>
      <c r="B1545">
        <v>-0.25822764199999998</v>
      </c>
      <c r="C1545">
        <v>-0.10597166199999999</v>
      </c>
      <c r="D1545">
        <v>-0.33258806200000002</v>
      </c>
      <c r="E1545">
        <v>2</v>
      </c>
      <c r="F1545">
        <v>48</v>
      </c>
      <c r="G1545">
        <v>10</v>
      </c>
      <c r="H1545">
        <v>0</v>
      </c>
      <c r="I1545">
        <v>1</v>
      </c>
      <c r="J1545">
        <v>27.708942409999999</v>
      </c>
      <c r="K1545">
        <v>19.328340529999998</v>
      </c>
      <c r="N1545">
        <v>0</v>
      </c>
      <c r="O1545">
        <v>0</v>
      </c>
    </row>
    <row r="1546" spans="1:15">
      <c r="A1546">
        <v>1.474384084</v>
      </c>
      <c r="B1546">
        <v>1.0519779499999999</v>
      </c>
      <c r="C1546">
        <v>0.73719204199999999</v>
      </c>
      <c r="D1546">
        <v>1.784705676</v>
      </c>
      <c r="E1546">
        <v>3</v>
      </c>
      <c r="F1546">
        <v>42</v>
      </c>
      <c r="G1546">
        <v>10</v>
      </c>
      <c r="H1546">
        <v>0</v>
      </c>
      <c r="I1546">
        <v>1</v>
      </c>
      <c r="J1546">
        <v>50.716468810000002</v>
      </c>
      <c r="K1546">
        <v>28.246303560000001</v>
      </c>
      <c r="L1546">
        <v>28.246303560000001</v>
      </c>
      <c r="M1546">
        <v>3.3409626480000001</v>
      </c>
      <c r="N1546">
        <v>1</v>
      </c>
      <c r="O1546">
        <v>3.3409626480000001</v>
      </c>
    </row>
    <row r="1547" spans="1:15">
      <c r="A1547">
        <v>-0.31479421899999999</v>
      </c>
      <c r="B1547">
        <v>0.47093892300000001</v>
      </c>
      <c r="C1547">
        <v>-0.15739711000000001</v>
      </c>
      <c r="D1547">
        <v>0.11319017000000001</v>
      </c>
      <c r="E1547">
        <v>4</v>
      </c>
      <c r="F1547">
        <v>34</v>
      </c>
      <c r="G1547">
        <v>10</v>
      </c>
      <c r="H1547">
        <v>0</v>
      </c>
      <c r="I1547">
        <v>2</v>
      </c>
      <c r="J1547">
        <v>32.45828247</v>
      </c>
      <c r="K1547">
        <v>15.91123486</v>
      </c>
      <c r="L1547">
        <v>15.91123486</v>
      </c>
      <c r="M1547">
        <v>2.7670254710000002</v>
      </c>
      <c r="N1547">
        <v>1</v>
      </c>
      <c r="O1547">
        <v>2.7670254710000002</v>
      </c>
    </row>
    <row r="1548" spans="1:15">
      <c r="A1548">
        <v>-0.83374902900000003</v>
      </c>
      <c r="B1548">
        <v>0.83030400500000001</v>
      </c>
      <c r="C1548">
        <v>-0.416874515</v>
      </c>
      <c r="D1548">
        <v>3.4764890000000001E-3</v>
      </c>
      <c r="E1548">
        <v>5</v>
      </c>
      <c r="F1548">
        <v>44</v>
      </c>
      <c r="G1548">
        <v>12</v>
      </c>
      <c r="H1548">
        <v>1</v>
      </c>
      <c r="I1548">
        <v>2</v>
      </c>
      <c r="J1548">
        <v>41.641716000000002</v>
      </c>
      <c r="K1548">
        <v>16.797506330000001</v>
      </c>
      <c r="L1548">
        <v>16.797506330000001</v>
      </c>
      <c r="M1548">
        <v>2.8212304119999998</v>
      </c>
      <c r="N1548">
        <v>1</v>
      </c>
      <c r="O1548">
        <v>2.8212304119999998</v>
      </c>
    </row>
    <row r="1549" spans="1:15">
      <c r="A1549">
        <v>-0.90482363899999996</v>
      </c>
      <c r="B1549">
        <v>1.055246627</v>
      </c>
      <c r="C1549">
        <v>-0.45241181899999999</v>
      </c>
      <c r="D1549">
        <v>0.113317064</v>
      </c>
      <c r="E1549">
        <v>6</v>
      </c>
      <c r="F1549">
        <v>35</v>
      </c>
      <c r="G1549">
        <v>20</v>
      </c>
      <c r="H1549">
        <v>1</v>
      </c>
      <c r="I1549">
        <v>1</v>
      </c>
      <c r="J1549">
        <v>40.359806059999997</v>
      </c>
      <c r="K1549">
        <v>22.571058270000002</v>
      </c>
      <c r="L1549">
        <v>22.571058270000002</v>
      </c>
      <c r="M1549">
        <v>3.1166684629999999</v>
      </c>
      <c r="N1549">
        <v>1</v>
      </c>
      <c r="O1549">
        <v>3.1166684629999999</v>
      </c>
    </row>
    <row r="1550" spans="1:15">
      <c r="A1550">
        <v>-0.15457521299999999</v>
      </c>
      <c r="B1550">
        <v>-0.39646906999999998</v>
      </c>
      <c r="C1550">
        <v>-7.7287605999999995E-2</v>
      </c>
      <c r="D1550">
        <v>-0.39046267000000001</v>
      </c>
      <c r="E1550">
        <v>7</v>
      </c>
      <c r="F1550">
        <v>49</v>
      </c>
      <c r="G1550">
        <v>16</v>
      </c>
      <c r="H1550">
        <v>1</v>
      </c>
      <c r="I1550">
        <v>1</v>
      </c>
      <c r="J1550">
        <v>36.914447780000003</v>
      </c>
      <c r="K1550">
        <v>25.872549060000001</v>
      </c>
      <c r="L1550">
        <v>25.872549060000001</v>
      </c>
      <c r="M1550">
        <v>3.2531824110000001</v>
      </c>
      <c r="N1550">
        <v>1</v>
      </c>
      <c r="O1550">
        <v>3.2531824110000001</v>
      </c>
    </row>
    <row r="1551" spans="1:15">
      <c r="A1551">
        <v>0.35888325799999998</v>
      </c>
      <c r="B1551">
        <v>-5.5085646000000002E-2</v>
      </c>
      <c r="C1551">
        <v>0.17944162899999999</v>
      </c>
      <c r="D1551">
        <v>0.21332235599999999</v>
      </c>
      <c r="E1551">
        <v>8</v>
      </c>
      <c r="F1551">
        <v>46</v>
      </c>
      <c r="G1551">
        <v>16</v>
      </c>
      <c r="H1551">
        <v>1</v>
      </c>
      <c r="I1551">
        <v>3</v>
      </c>
      <c r="J1551">
        <v>52.959869380000001</v>
      </c>
      <c r="K1551">
        <v>28.353300090000001</v>
      </c>
      <c r="L1551">
        <v>28.353300090000001</v>
      </c>
      <c r="M1551">
        <v>3.3447434899999999</v>
      </c>
      <c r="N1551">
        <v>1</v>
      </c>
      <c r="O1551">
        <v>3.3447434899999999</v>
      </c>
    </row>
    <row r="1552" spans="1:15">
      <c r="A1552">
        <v>1.1543163359999999</v>
      </c>
      <c r="B1552">
        <v>0.17236652599999999</v>
      </c>
      <c r="C1552">
        <v>0.57715816799999997</v>
      </c>
      <c r="D1552">
        <v>0.93451197699999999</v>
      </c>
      <c r="E1552">
        <v>9</v>
      </c>
      <c r="F1552">
        <v>48</v>
      </c>
      <c r="G1552">
        <v>20</v>
      </c>
      <c r="H1552">
        <v>1</v>
      </c>
      <c r="I1552">
        <v>3</v>
      </c>
      <c r="J1552">
        <v>65.414146419999994</v>
      </c>
      <c r="K1552">
        <v>37.525897980000003</v>
      </c>
      <c r="L1552">
        <v>37.525897980000003</v>
      </c>
      <c r="M1552">
        <v>3.6250312330000001</v>
      </c>
      <c r="N1552">
        <v>1</v>
      </c>
      <c r="O1552">
        <v>3.6250312330000001</v>
      </c>
    </row>
    <row r="1553" spans="1:15">
      <c r="A1553">
        <v>-0.80397848699999996</v>
      </c>
      <c r="B1553">
        <v>-0.89326444100000002</v>
      </c>
      <c r="C1553">
        <v>-0.401989243</v>
      </c>
      <c r="D1553">
        <v>-1.2003139819999999</v>
      </c>
      <c r="E1553">
        <v>0</v>
      </c>
      <c r="F1553">
        <v>25</v>
      </c>
      <c r="G1553">
        <v>10</v>
      </c>
      <c r="H1553">
        <v>1</v>
      </c>
      <c r="I1553">
        <v>0</v>
      </c>
      <c r="J1553">
        <v>8.0962324139999993</v>
      </c>
      <c r="K1553">
        <v>11.176129339999999</v>
      </c>
      <c r="N1553">
        <v>0</v>
      </c>
      <c r="O1553">
        <v>0</v>
      </c>
    </row>
    <row r="1554" spans="1:15">
      <c r="A1554">
        <v>0.18102713200000001</v>
      </c>
      <c r="B1554">
        <v>0.20811384199999999</v>
      </c>
      <c r="C1554">
        <v>9.0513566000000004E-2</v>
      </c>
      <c r="D1554">
        <v>0.27522945399999998</v>
      </c>
      <c r="E1554">
        <v>1</v>
      </c>
      <c r="F1554">
        <v>25</v>
      </c>
      <c r="G1554">
        <v>10</v>
      </c>
      <c r="H1554">
        <v>0</v>
      </c>
      <c r="I1554">
        <v>1</v>
      </c>
      <c r="J1554">
        <v>25.802753450000001</v>
      </c>
      <c r="K1554">
        <v>17.086162569999999</v>
      </c>
      <c r="N1554">
        <v>0</v>
      </c>
      <c r="O1554">
        <v>0</v>
      </c>
    </row>
    <row r="1555" spans="1:15">
      <c r="A1555">
        <v>0.113052044</v>
      </c>
      <c r="B1555">
        <v>-0.72484054399999998</v>
      </c>
      <c r="C1555">
        <v>5.6526022000000002E-2</v>
      </c>
      <c r="D1555">
        <v>-0.43552800200000003</v>
      </c>
      <c r="E1555">
        <v>2</v>
      </c>
      <c r="F1555">
        <v>29</v>
      </c>
      <c r="G1555">
        <v>10</v>
      </c>
      <c r="H1555">
        <v>0</v>
      </c>
      <c r="I1555">
        <v>0</v>
      </c>
      <c r="J1555">
        <v>13.8736639</v>
      </c>
      <c r="K1555">
        <v>17.47831154</v>
      </c>
      <c r="N1555">
        <v>0</v>
      </c>
      <c r="O1555">
        <v>0</v>
      </c>
    </row>
    <row r="1556" spans="1:15">
      <c r="A1556">
        <v>-3.3411422000000003E-2</v>
      </c>
      <c r="B1556">
        <v>0.38185296800000001</v>
      </c>
      <c r="C1556">
        <v>-1.6705711000000002E-2</v>
      </c>
      <c r="D1556">
        <v>0.24783301199999999</v>
      </c>
      <c r="E1556">
        <v>3</v>
      </c>
      <c r="F1556">
        <v>29</v>
      </c>
      <c r="G1556">
        <v>16</v>
      </c>
      <c r="H1556">
        <v>1</v>
      </c>
      <c r="I1556">
        <v>0</v>
      </c>
      <c r="J1556">
        <v>31.573995589999999</v>
      </c>
      <c r="K1556">
        <v>22.599531169999999</v>
      </c>
      <c r="L1556">
        <v>22.599531169999999</v>
      </c>
      <c r="M1556">
        <v>3.1179292200000002</v>
      </c>
      <c r="N1556">
        <v>1</v>
      </c>
      <c r="O1556">
        <v>3.1179292200000002</v>
      </c>
    </row>
    <row r="1557" spans="1:15">
      <c r="A1557">
        <v>0.30958733599999999</v>
      </c>
      <c r="B1557">
        <v>-0.64684164600000005</v>
      </c>
      <c r="C1557">
        <v>0.154793668</v>
      </c>
      <c r="D1557">
        <v>-0.24184603599999999</v>
      </c>
      <c r="E1557">
        <v>4</v>
      </c>
      <c r="F1557">
        <v>45</v>
      </c>
      <c r="G1557">
        <v>12</v>
      </c>
      <c r="H1557">
        <v>1</v>
      </c>
      <c r="I1557">
        <v>1</v>
      </c>
      <c r="J1557">
        <v>34.09784698</v>
      </c>
      <c r="K1557">
        <v>23.857524869999999</v>
      </c>
      <c r="L1557">
        <v>23.857524869999999</v>
      </c>
      <c r="M1557">
        <v>3.1720995900000002</v>
      </c>
      <c r="N1557">
        <v>1</v>
      </c>
      <c r="O1557">
        <v>3.1720995900000002</v>
      </c>
    </row>
    <row r="1558" spans="1:15">
      <c r="A1558">
        <v>-0.230283721</v>
      </c>
      <c r="B1558">
        <v>-0.14930998700000001</v>
      </c>
      <c r="C1558">
        <v>-0.115141861</v>
      </c>
      <c r="D1558">
        <v>-0.26809535000000001</v>
      </c>
      <c r="E1558">
        <v>5</v>
      </c>
      <c r="F1558">
        <v>41</v>
      </c>
      <c r="G1558">
        <v>12</v>
      </c>
      <c r="H1558">
        <v>1</v>
      </c>
      <c r="I1558">
        <v>2</v>
      </c>
      <c r="J1558">
        <v>37.182857509999998</v>
      </c>
      <c r="K1558">
        <v>19.818298339999998</v>
      </c>
      <c r="L1558">
        <v>19.818298339999998</v>
      </c>
      <c r="M1558">
        <v>2.9866056439999999</v>
      </c>
      <c r="N1558">
        <v>1</v>
      </c>
      <c r="O1558">
        <v>2.9866056439999999</v>
      </c>
    </row>
    <row r="1559" spans="1:15">
      <c r="A1559">
        <v>1.2086370930000001</v>
      </c>
      <c r="B1559">
        <v>0.438602771</v>
      </c>
      <c r="C1559">
        <v>0.60431854699999998</v>
      </c>
      <c r="D1559">
        <v>1.1619073820000001</v>
      </c>
      <c r="E1559">
        <v>6</v>
      </c>
      <c r="F1559">
        <v>37</v>
      </c>
      <c r="G1559">
        <v>12</v>
      </c>
      <c r="H1559">
        <v>1</v>
      </c>
      <c r="I1559">
        <v>5</v>
      </c>
      <c r="J1559">
        <v>67.742889399999996</v>
      </c>
      <c r="K1559">
        <v>27.65182304</v>
      </c>
      <c r="L1559">
        <v>27.65182304</v>
      </c>
      <c r="M1559">
        <v>3.319691658</v>
      </c>
      <c r="N1559">
        <v>1</v>
      </c>
      <c r="O1559">
        <v>3.319691658</v>
      </c>
    </row>
    <row r="1560" spans="1:15">
      <c r="A1560">
        <v>-0.87772190699999997</v>
      </c>
      <c r="B1560">
        <v>1.8704164619999999</v>
      </c>
      <c r="C1560">
        <v>-0.438860953</v>
      </c>
      <c r="D1560">
        <v>0.71162582200000002</v>
      </c>
      <c r="E1560">
        <v>7</v>
      </c>
      <c r="F1560">
        <v>34</v>
      </c>
      <c r="G1560">
        <v>16</v>
      </c>
      <c r="H1560">
        <v>1</v>
      </c>
      <c r="I1560">
        <v>1</v>
      </c>
      <c r="J1560">
        <v>44.139511110000001</v>
      </c>
      <c r="K1560">
        <v>18.533668519999999</v>
      </c>
      <c r="L1560">
        <v>18.533668519999999</v>
      </c>
      <c r="M1560">
        <v>2.9195890430000002</v>
      </c>
      <c r="N1560">
        <v>1</v>
      </c>
      <c r="O1560">
        <v>2.9195890430000002</v>
      </c>
    </row>
    <row r="1561" spans="1:15">
      <c r="A1561">
        <v>-0.13216507299999999</v>
      </c>
      <c r="B1561">
        <v>-0.31086368199999997</v>
      </c>
      <c r="C1561">
        <v>-6.6082535999999997E-2</v>
      </c>
      <c r="D1561">
        <v>-0.31386823800000002</v>
      </c>
      <c r="E1561">
        <v>8</v>
      </c>
      <c r="F1561">
        <v>48</v>
      </c>
      <c r="G1561">
        <v>16</v>
      </c>
      <c r="H1561">
        <v>1</v>
      </c>
      <c r="I1561">
        <v>1</v>
      </c>
      <c r="J1561">
        <v>37.433582309999998</v>
      </c>
      <c r="K1561">
        <v>25.807008740000001</v>
      </c>
      <c r="L1561">
        <v>25.807008740000001</v>
      </c>
      <c r="M1561">
        <v>3.2506461139999998</v>
      </c>
      <c r="N1561">
        <v>1</v>
      </c>
      <c r="O1561">
        <v>3.2506461139999998</v>
      </c>
    </row>
    <row r="1562" spans="1:15">
      <c r="A1562">
        <v>1.5920712850000001</v>
      </c>
      <c r="B1562">
        <v>0.14995225100000001</v>
      </c>
      <c r="C1562">
        <v>0.79603564199999999</v>
      </c>
      <c r="D1562">
        <v>1.226534158</v>
      </c>
      <c r="E1562">
        <v>9</v>
      </c>
      <c r="F1562">
        <v>55</v>
      </c>
      <c r="G1562">
        <v>12</v>
      </c>
      <c r="H1562">
        <v>1</v>
      </c>
      <c r="I1562">
        <v>1</v>
      </c>
      <c r="J1562">
        <v>55.718410489999997</v>
      </c>
      <c r="K1562">
        <v>33.552429199999999</v>
      </c>
      <c r="L1562">
        <v>33.552429199999999</v>
      </c>
      <c r="M1562">
        <v>3.5131092069999998</v>
      </c>
      <c r="N1562">
        <v>1</v>
      </c>
      <c r="O1562">
        <v>3.5131092069999998</v>
      </c>
    </row>
    <row r="1563" spans="1:15">
      <c r="A1563">
        <v>0.40668117199999998</v>
      </c>
      <c r="B1563">
        <v>-4.5787315000000002E-2</v>
      </c>
      <c r="C1563">
        <v>0.20334058599999999</v>
      </c>
      <c r="D1563">
        <v>0.253554165</v>
      </c>
      <c r="E1563">
        <v>0</v>
      </c>
      <c r="F1563">
        <v>20</v>
      </c>
      <c r="G1563">
        <v>10</v>
      </c>
      <c r="H1563">
        <v>0</v>
      </c>
      <c r="I1563">
        <v>1</v>
      </c>
      <c r="J1563">
        <v>23.542650219999999</v>
      </c>
      <c r="K1563">
        <v>17.440086359999999</v>
      </c>
      <c r="N1563">
        <v>0</v>
      </c>
      <c r="O1563">
        <v>0</v>
      </c>
    </row>
    <row r="1564" spans="1:15">
      <c r="A1564">
        <v>0.55002361300000002</v>
      </c>
      <c r="B1564">
        <v>0.17632727100000001</v>
      </c>
      <c r="C1564">
        <v>0.27501180600000003</v>
      </c>
      <c r="D1564">
        <v>0.51222205899999995</v>
      </c>
      <c r="E1564">
        <v>1</v>
      </c>
      <c r="F1564">
        <v>31</v>
      </c>
      <c r="G1564">
        <v>10</v>
      </c>
      <c r="H1564">
        <v>0</v>
      </c>
      <c r="I1564">
        <v>0</v>
      </c>
      <c r="J1564">
        <v>26.046665189999999</v>
      </c>
      <c r="K1564">
        <v>20.50014114</v>
      </c>
      <c r="N1564">
        <v>0</v>
      </c>
      <c r="O1564">
        <v>0</v>
      </c>
    </row>
    <row r="1565" spans="1:15">
      <c r="A1565">
        <v>0.98191234299999997</v>
      </c>
      <c r="B1565">
        <v>1.177793453</v>
      </c>
      <c r="C1565">
        <v>0.49095617200000002</v>
      </c>
      <c r="D1565">
        <v>1.527666489</v>
      </c>
      <c r="E1565">
        <v>2</v>
      </c>
      <c r="F1565">
        <v>27</v>
      </c>
      <c r="G1565">
        <v>10</v>
      </c>
      <c r="H1565">
        <v>1</v>
      </c>
      <c r="I1565">
        <v>1</v>
      </c>
      <c r="J1565">
        <v>46.631996149999999</v>
      </c>
      <c r="K1565">
        <v>22.29147339</v>
      </c>
      <c r="L1565">
        <v>22.29147339</v>
      </c>
      <c r="M1565">
        <v>3.1042041779999998</v>
      </c>
      <c r="N1565">
        <v>1</v>
      </c>
      <c r="O1565">
        <v>3.1042041779999998</v>
      </c>
    </row>
    <row r="1566" spans="1:15">
      <c r="A1566">
        <v>-0.30174328</v>
      </c>
      <c r="B1566">
        <v>-0.87601870500000001</v>
      </c>
      <c r="C1566">
        <v>-0.15087164</v>
      </c>
      <c r="D1566">
        <v>-0.83474999299999997</v>
      </c>
      <c r="E1566">
        <v>3</v>
      </c>
      <c r="F1566">
        <v>31</v>
      </c>
      <c r="G1566">
        <v>10</v>
      </c>
      <c r="H1566">
        <v>1</v>
      </c>
      <c r="I1566">
        <v>1</v>
      </c>
      <c r="J1566">
        <v>19.882999420000001</v>
      </c>
      <c r="K1566">
        <v>15.389540670000001</v>
      </c>
      <c r="N1566">
        <v>0</v>
      </c>
      <c r="O1566">
        <v>0</v>
      </c>
    </row>
    <row r="1567" spans="1:15">
      <c r="A1567">
        <v>0.18719156100000001</v>
      </c>
      <c r="B1567">
        <v>1.6437468</v>
      </c>
      <c r="C1567">
        <v>9.3595780000000003E-2</v>
      </c>
      <c r="D1567">
        <v>1.2996980490000001</v>
      </c>
      <c r="E1567">
        <v>4</v>
      </c>
      <c r="F1567">
        <v>34</v>
      </c>
      <c r="G1567">
        <v>16</v>
      </c>
      <c r="H1567">
        <v>1</v>
      </c>
      <c r="I1567">
        <v>1</v>
      </c>
      <c r="J1567">
        <v>51.196376800000003</v>
      </c>
      <c r="K1567">
        <v>24.923149110000001</v>
      </c>
      <c r="L1567">
        <v>24.923149110000001</v>
      </c>
      <c r="M1567">
        <v>3.2157969469999999</v>
      </c>
      <c r="N1567">
        <v>1</v>
      </c>
      <c r="O1567">
        <v>3.2157969469999999</v>
      </c>
    </row>
    <row r="1568" spans="1:15">
      <c r="A1568">
        <v>-0.16307131499999999</v>
      </c>
      <c r="B1568">
        <v>0.97726712100000002</v>
      </c>
      <c r="C1568">
        <v>-8.1535657999999997E-2</v>
      </c>
      <c r="D1568">
        <v>0.579710014</v>
      </c>
      <c r="E1568">
        <v>5</v>
      </c>
      <c r="F1568">
        <v>30</v>
      </c>
      <c r="G1568">
        <v>16</v>
      </c>
      <c r="H1568">
        <v>0</v>
      </c>
      <c r="I1568">
        <v>1</v>
      </c>
      <c r="J1568">
        <v>35.956520079999997</v>
      </c>
      <c r="K1568">
        <v>22.021572110000001</v>
      </c>
      <c r="L1568">
        <v>22.021572110000001</v>
      </c>
      <c r="M1568">
        <v>3.0920224190000001</v>
      </c>
      <c r="N1568">
        <v>1</v>
      </c>
      <c r="O1568">
        <v>3.0920224190000001</v>
      </c>
    </row>
    <row r="1569" spans="1:15">
      <c r="A1569">
        <v>-0.18920822100000001</v>
      </c>
      <c r="B1569">
        <v>-1.177175802</v>
      </c>
      <c r="C1569">
        <v>-9.4604110000000005E-2</v>
      </c>
      <c r="D1569">
        <v>-0.96958069400000002</v>
      </c>
      <c r="E1569">
        <v>6</v>
      </c>
      <c r="F1569">
        <v>34</v>
      </c>
      <c r="G1569">
        <v>16</v>
      </c>
      <c r="H1569">
        <v>1</v>
      </c>
      <c r="I1569">
        <v>1</v>
      </c>
      <c r="J1569">
        <v>23.965032579999999</v>
      </c>
      <c r="K1569">
        <v>22.66475105</v>
      </c>
      <c r="N1569">
        <v>0</v>
      </c>
      <c r="O1569">
        <v>0</v>
      </c>
    </row>
    <row r="1570" spans="1:15">
      <c r="A1570">
        <v>0.58274134899999996</v>
      </c>
      <c r="B1570">
        <v>-1.443885775</v>
      </c>
      <c r="C1570">
        <v>0.291370674</v>
      </c>
      <c r="D1570">
        <v>-0.61605285700000001</v>
      </c>
      <c r="E1570">
        <v>7</v>
      </c>
      <c r="F1570">
        <v>38</v>
      </c>
      <c r="G1570">
        <v>12</v>
      </c>
      <c r="H1570">
        <v>1</v>
      </c>
      <c r="I1570">
        <v>1</v>
      </c>
      <c r="J1570">
        <v>26.80736542</v>
      </c>
      <c r="K1570">
        <v>24.096448899999999</v>
      </c>
      <c r="N1570">
        <v>0</v>
      </c>
      <c r="O1570">
        <v>0</v>
      </c>
    </row>
    <row r="1571" spans="1:15">
      <c r="A1571">
        <v>3.3631979259999998</v>
      </c>
      <c r="B1571">
        <v>-1.1762884090000001</v>
      </c>
      <c r="C1571">
        <v>1.6815989629999999</v>
      </c>
      <c r="D1571">
        <v>1.53007597</v>
      </c>
      <c r="E1571">
        <v>8</v>
      </c>
      <c r="F1571">
        <v>54</v>
      </c>
      <c r="G1571">
        <v>12</v>
      </c>
      <c r="H1571">
        <v>1</v>
      </c>
      <c r="I1571">
        <v>3</v>
      </c>
      <c r="J1571">
        <v>68.960914610000003</v>
      </c>
      <c r="K1571">
        <v>43.979187009999997</v>
      </c>
      <c r="L1571">
        <v>43.979187009999997</v>
      </c>
      <c r="M1571">
        <v>3.7837164400000001</v>
      </c>
      <c r="N1571">
        <v>1</v>
      </c>
      <c r="O1571">
        <v>3.7837164400000001</v>
      </c>
    </row>
    <row r="1572" spans="1:15">
      <c r="A1572">
        <v>-1.481710791</v>
      </c>
      <c r="B1572">
        <v>7.0675640000000001E-3</v>
      </c>
      <c r="C1572">
        <v>-0.74085539600000005</v>
      </c>
      <c r="D1572">
        <v>-1.0373232560000001</v>
      </c>
      <c r="E1572">
        <v>9</v>
      </c>
      <c r="F1572">
        <v>40</v>
      </c>
      <c r="G1572">
        <v>20</v>
      </c>
      <c r="H1572">
        <v>1</v>
      </c>
      <c r="I1572">
        <v>3</v>
      </c>
      <c r="J1572">
        <v>38.552120209999998</v>
      </c>
      <c r="K1572">
        <v>20.109735489999998</v>
      </c>
      <c r="L1572">
        <v>20.109735489999998</v>
      </c>
      <c r="M1572">
        <v>3.0012040139999998</v>
      </c>
      <c r="N1572">
        <v>1</v>
      </c>
      <c r="O1572">
        <v>3.0012040139999998</v>
      </c>
    </row>
    <row r="1573" spans="1:15">
      <c r="A1573">
        <v>-0.29740167299999998</v>
      </c>
      <c r="B1573">
        <v>-1.7173434620000001</v>
      </c>
      <c r="C1573">
        <v>-0.148700837</v>
      </c>
      <c r="D1573">
        <v>-1.4295243369999999</v>
      </c>
      <c r="E1573">
        <v>0</v>
      </c>
      <c r="F1573">
        <v>28</v>
      </c>
      <c r="G1573">
        <v>12</v>
      </c>
      <c r="H1573">
        <v>0</v>
      </c>
      <c r="I1573">
        <v>3</v>
      </c>
      <c r="J1573">
        <v>18.045707700000001</v>
      </c>
      <c r="K1573">
        <v>16.815589899999999</v>
      </c>
      <c r="N1573">
        <v>0</v>
      </c>
      <c r="O1573">
        <v>0</v>
      </c>
    </row>
    <row r="1574" spans="1:15">
      <c r="A1574">
        <v>0.36475960000000002</v>
      </c>
      <c r="B1574">
        <v>-1.3838639779999999</v>
      </c>
      <c r="C1574">
        <v>0.18237980000000001</v>
      </c>
      <c r="D1574">
        <v>-0.72674710600000003</v>
      </c>
      <c r="E1574">
        <v>1</v>
      </c>
      <c r="F1574">
        <v>33</v>
      </c>
      <c r="G1574">
        <v>20</v>
      </c>
      <c r="H1574">
        <v>0</v>
      </c>
      <c r="I1574">
        <v>1</v>
      </c>
      <c r="J1574">
        <v>24.479034420000001</v>
      </c>
      <c r="K1574">
        <v>29.788557050000001</v>
      </c>
      <c r="N1574">
        <v>0</v>
      </c>
      <c r="O1574">
        <v>0</v>
      </c>
    </row>
    <row r="1575" spans="1:15">
      <c r="A1575">
        <v>-0.59689431299999995</v>
      </c>
      <c r="B1575">
        <v>-1.3723926070000001</v>
      </c>
      <c r="C1575">
        <v>-0.29844715599999999</v>
      </c>
      <c r="D1575">
        <v>-1.395094504</v>
      </c>
      <c r="E1575">
        <v>2</v>
      </c>
      <c r="F1575">
        <v>53</v>
      </c>
      <c r="G1575">
        <v>12</v>
      </c>
      <c r="H1575">
        <v>0</v>
      </c>
      <c r="I1575">
        <v>3</v>
      </c>
      <c r="J1575">
        <v>28.45886612</v>
      </c>
      <c r="K1575">
        <v>20.018634800000001</v>
      </c>
      <c r="N1575">
        <v>0</v>
      </c>
      <c r="O1575">
        <v>0</v>
      </c>
    </row>
    <row r="1576" spans="1:15">
      <c r="A1576">
        <v>-0.121410133</v>
      </c>
      <c r="B1576">
        <v>-0.31811858199999998</v>
      </c>
      <c r="C1576">
        <v>-6.0705066000000002E-2</v>
      </c>
      <c r="D1576">
        <v>-0.311457602</v>
      </c>
      <c r="E1576">
        <v>3</v>
      </c>
      <c r="F1576">
        <v>35</v>
      </c>
      <c r="G1576">
        <v>10</v>
      </c>
      <c r="H1576">
        <v>0</v>
      </c>
      <c r="I1576">
        <v>1</v>
      </c>
      <c r="J1576">
        <v>22.762508390000001</v>
      </c>
      <c r="K1576">
        <v>17.271539690000001</v>
      </c>
      <c r="N1576">
        <v>0</v>
      </c>
      <c r="O1576">
        <v>0</v>
      </c>
    </row>
    <row r="1577" spans="1:15">
      <c r="A1577">
        <v>0.234720287</v>
      </c>
      <c r="B1577">
        <v>0.10099585799999999</v>
      </c>
      <c r="C1577">
        <v>0.117360144</v>
      </c>
      <c r="D1577">
        <v>0.23688530599999999</v>
      </c>
      <c r="E1577">
        <v>4</v>
      </c>
      <c r="F1577">
        <v>28</v>
      </c>
      <c r="G1577">
        <v>12</v>
      </c>
      <c r="H1577">
        <v>1</v>
      </c>
      <c r="I1577">
        <v>1</v>
      </c>
      <c r="J1577">
        <v>33.042625430000001</v>
      </c>
      <c r="K1577">
        <v>20.008321760000001</v>
      </c>
      <c r="L1577">
        <v>20.008321760000001</v>
      </c>
      <c r="M1577">
        <v>2.9961483480000002</v>
      </c>
      <c r="N1577">
        <v>1</v>
      </c>
      <c r="O1577">
        <v>2.9961483480000002</v>
      </c>
    </row>
    <row r="1578" spans="1:15">
      <c r="A1578">
        <v>-0.44424511500000002</v>
      </c>
      <c r="B1578">
        <v>-2.9041415549999998</v>
      </c>
      <c r="C1578">
        <v>-0.222122557</v>
      </c>
      <c r="D1578">
        <v>-2.37613991</v>
      </c>
      <c r="E1578">
        <v>5</v>
      </c>
      <c r="F1578">
        <v>33</v>
      </c>
      <c r="G1578">
        <v>20</v>
      </c>
      <c r="H1578">
        <v>1</v>
      </c>
      <c r="I1578">
        <v>0</v>
      </c>
      <c r="J1578">
        <v>4.6863212589999996</v>
      </c>
      <c r="K1578">
        <v>24.934530259999999</v>
      </c>
      <c r="N1578">
        <v>0</v>
      </c>
      <c r="O1578">
        <v>0</v>
      </c>
    </row>
    <row r="1579" spans="1:15">
      <c r="A1579">
        <v>-1.1010240950000001</v>
      </c>
      <c r="B1579">
        <v>0.95983045499999997</v>
      </c>
      <c r="C1579">
        <v>-0.550512047</v>
      </c>
      <c r="D1579">
        <v>-9.250572E-2</v>
      </c>
      <c r="E1579">
        <v>6</v>
      </c>
      <c r="F1579">
        <v>47</v>
      </c>
      <c r="G1579">
        <v>16</v>
      </c>
      <c r="H1579">
        <v>1</v>
      </c>
      <c r="I1579">
        <v>1</v>
      </c>
      <c r="J1579">
        <v>39.689929960000001</v>
      </c>
      <c r="K1579">
        <v>19.793855669999999</v>
      </c>
      <c r="L1579">
        <v>19.793855669999999</v>
      </c>
      <c r="M1579">
        <v>2.9853715900000002</v>
      </c>
      <c r="N1579">
        <v>1</v>
      </c>
      <c r="O1579">
        <v>2.9853715900000002</v>
      </c>
    </row>
    <row r="1580" spans="1:15">
      <c r="A1580">
        <v>0.423394088</v>
      </c>
      <c r="B1580">
        <v>-1.072234863</v>
      </c>
      <c r="C1580">
        <v>0.211697044</v>
      </c>
      <c r="D1580">
        <v>-0.46406183699999998</v>
      </c>
      <c r="E1580">
        <v>7</v>
      </c>
      <c r="F1580">
        <v>38</v>
      </c>
      <c r="G1580">
        <v>20</v>
      </c>
      <c r="H1580">
        <v>1</v>
      </c>
      <c r="I1580">
        <v>0</v>
      </c>
      <c r="J1580">
        <v>29.63125801</v>
      </c>
      <c r="K1580">
        <v>31.140363690000001</v>
      </c>
      <c r="L1580">
        <v>31.140363690000001</v>
      </c>
      <c r="M1580">
        <v>3.438504934</v>
      </c>
      <c r="N1580">
        <v>1</v>
      </c>
      <c r="O1580">
        <v>3.438504934</v>
      </c>
    </row>
    <row r="1581" spans="1:15">
      <c r="A1581">
        <v>-1.93590719</v>
      </c>
      <c r="B1581">
        <v>1.1197369399999999</v>
      </c>
      <c r="C1581">
        <v>-0.967953595</v>
      </c>
      <c r="D1581">
        <v>-0.56619809300000001</v>
      </c>
      <c r="E1581">
        <v>8</v>
      </c>
      <c r="F1581">
        <v>41</v>
      </c>
      <c r="G1581">
        <v>16</v>
      </c>
      <c r="H1581">
        <v>1</v>
      </c>
      <c r="I1581">
        <v>1</v>
      </c>
      <c r="J1581">
        <v>31.605623250000001</v>
      </c>
      <c r="K1581">
        <v>13.584556579999999</v>
      </c>
      <c r="L1581">
        <v>13.584556579999999</v>
      </c>
      <c r="M1581">
        <v>2.6089336869999999</v>
      </c>
      <c r="N1581">
        <v>1</v>
      </c>
      <c r="O1581">
        <v>2.6089336869999999</v>
      </c>
    </row>
    <row r="1582" spans="1:15">
      <c r="A1582">
        <v>0.74914722600000005</v>
      </c>
      <c r="B1582">
        <v>-0.25790196199999998</v>
      </c>
      <c r="C1582">
        <v>0.37457361300000003</v>
      </c>
      <c r="D1582">
        <v>0.343745774</v>
      </c>
      <c r="E1582">
        <v>9</v>
      </c>
      <c r="F1582">
        <v>50</v>
      </c>
      <c r="G1582">
        <v>12</v>
      </c>
      <c r="H1582">
        <v>1</v>
      </c>
      <c r="I1582">
        <v>2</v>
      </c>
      <c r="J1582">
        <v>48.124950409999997</v>
      </c>
      <c r="K1582">
        <v>27.494882579999999</v>
      </c>
      <c r="L1582">
        <v>27.494882579999999</v>
      </c>
      <c r="M1582">
        <v>3.3139998909999999</v>
      </c>
      <c r="N1582">
        <v>1</v>
      </c>
      <c r="O1582">
        <v>3.3139998909999999</v>
      </c>
    </row>
    <row r="1583" spans="1:15">
      <c r="A1583">
        <v>-1.026758447</v>
      </c>
      <c r="B1583">
        <v>-1.2270432870000001</v>
      </c>
      <c r="C1583">
        <v>-0.51337922400000002</v>
      </c>
      <c r="D1583">
        <v>-1.594210514</v>
      </c>
      <c r="E1583">
        <v>0</v>
      </c>
      <c r="F1583">
        <v>24</v>
      </c>
      <c r="G1583">
        <v>10</v>
      </c>
      <c r="H1583">
        <v>0</v>
      </c>
      <c r="I1583">
        <v>0</v>
      </c>
      <c r="J1583">
        <v>-2.0305261610000001</v>
      </c>
      <c r="K1583">
        <v>9.6394491200000001</v>
      </c>
      <c r="N1583">
        <v>0</v>
      </c>
      <c r="O1583">
        <v>0</v>
      </c>
    </row>
    <row r="1584" spans="1:15">
      <c r="A1584">
        <v>-0.82696654000000003</v>
      </c>
      <c r="B1584">
        <v>1.4369394849999999</v>
      </c>
      <c r="C1584">
        <v>-0.41348327000000001</v>
      </c>
      <c r="D1584">
        <v>0.43931083900000001</v>
      </c>
      <c r="E1584">
        <v>1</v>
      </c>
      <c r="F1584">
        <v>25</v>
      </c>
      <c r="G1584">
        <v>12</v>
      </c>
      <c r="H1584">
        <v>0</v>
      </c>
      <c r="I1584">
        <v>3</v>
      </c>
      <c r="J1584">
        <v>39.271728520000003</v>
      </c>
      <c r="K1584">
        <v>13.038200379999999</v>
      </c>
      <c r="L1584">
        <v>13.038200379999999</v>
      </c>
      <c r="M1584">
        <v>2.567883492</v>
      </c>
      <c r="N1584">
        <v>1</v>
      </c>
      <c r="O1584">
        <v>2.567883492</v>
      </c>
    </row>
    <row r="1585" spans="1:15">
      <c r="A1585">
        <v>-2.3565602719999998</v>
      </c>
      <c r="B1585">
        <v>-1.0564163529999999</v>
      </c>
      <c r="C1585">
        <v>-1.1782801359999999</v>
      </c>
      <c r="D1585">
        <v>-2.408447711</v>
      </c>
      <c r="E1585">
        <v>2</v>
      </c>
      <c r="F1585">
        <v>36</v>
      </c>
      <c r="G1585">
        <v>10</v>
      </c>
      <c r="H1585">
        <v>0</v>
      </c>
      <c r="I1585">
        <v>1</v>
      </c>
      <c r="J1585">
        <v>-2.0013725760000001</v>
      </c>
      <c r="K1585">
        <v>4.0606384279999999</v>
      </c>
      <c r="N1585">
        <v>0</v>
      </c>
      <c r="O1585">
        <v>0</v>
      </c>
    </row>
    <row r="1586" spans="1:15">
      <c r="A1586">
        <v>0.75665607599999996</v>
      </c>
      <c r="B1586">
        <v>0.81999288299999995</v>
      </c>
      <c r="C1586">
        <v>0.37832803799999998</v>
      </c>
      <c r="D1586">
        <v>1.1149585829999999</v>
      </c>
      <c r="E1586">
        <v>3</v>
      </c>
      <c r="F1586">
        <v>29</v>
      </c>
      <c r="G1586">
        <v>16</v>
      </c>
      <c r="H1586">
        <v>1</v>
      </c>
      <c r="I1586">
        <v>0</v>
      </c>
      <c r="J1586">
        <v>41.979503630000004</v>
      </c>
      <c r="K1586">
        <v>27.339937209999999</v>
      </c>
      <c r="L1586">
        <v>27.339937209999999</v>
      </c>
      <c r="M1586">
        <v>3.3083484169999999</v>
      </c>
      <c r="N1586">
        <v>1</v>
      </c>
      <c r="O1586">
        <v>3.3083484169999999</v>
      </c>
    </row>
    <row r="1587" spans="1:15">
      <c r="A1587">
        <v>-0.91983157599999998</v>
      </c>
      <c r="B1587">
        <v>0.20067231399999999</v>
      </c>
      <c r="C1587">
        <v>-0.45991578799999999</v>
      </c>
      <c r="D1587">
        <v>-0.50448405500000004</v>
      </c>
      <c r="E1587">
        <v>4</v>
      </c>
      <c r="F1587">
        <v>32</v>
      </c>
      <c r="G1587">
        <v>12</v>
      </c>
      <c r="H1587">
        <v>1</v>
      </c>
      <c r="I1587">
        <v>3</v>
      </c>
      <c r="J1587">
        <v>35.746192929999999</v>
      </c>
      <c r="K1587">
        <v>13.88101101</v>
      </c>
      <c r="L1587">
        <v>13.88101101</v>
      </c>
      <c r="M1587">
        <v>2.630521774</v>
      </c>
      <c r="N1587">
        <v>1</v>
      </c>
      <c r="O1587">
        <v>2.630521774</v>
      </c>
    </row>
    <row r="1588" spans="1:15">
      <c r="A1588">
        <v>-0.20018258999999999</v>
      </c>
      <c r="B1588">
        <v>-0.78884291399999995</v>
      </c>
      <c r="C1588">
        <v>-0.100091295</v>
      </c>
      <c r="D1588">
        <v>-0.70135929299999999</v>
      </c>
      <c r="E1588">
        <v>5</v>
      </c>
      <c r="F1588">
        <v>43</v>
      </c>
      <c r="G1588">
        <v>16</v>
      </c>
      <c r="H1588">
        <v>0</v>
      </c>
      <c r="I1588">
        <v>1</v>
      </c>
      <c r="J1588">
        <v>25.78368759</v>
      </c>
      <c r="K1588">
        <v>24.3989048</v>
      </c>
      <c r="N1588">
        <v>0</v>
      </c>
      <c r="O1588">
        <v>0</v>
      </c>
    </row>
    <row r="1589" spans="1:15">
      <c r="A1589">
        <v>0.86122266599999997</v>
      </c>
      <c r="B1589">
        <v>0.91089400899999995</v>
      </c>
      <c r="C1589">
        <v>0.43061133299999999</v>
      </c>
      <c r="D1589">
        <v>1.2531110050000001</v>
      </c>
      <c r="E1589">
        <v>6</v>
      </c>
      <c r="F1589">
        <v>50</v>
      </c>
      <c r="G1589">
        <v>12</v>
      </c>
      <c r="H1589">
        <v>1</v>
      </c>
      <c r="I1589">
        <v>3</v>
      </c>
      <c r="J1589">
        <v>64.03733063</v>
      </c>
      <c r="K1589">
        <v>28.167335510000001</v>
      </c>
      <c r="L1589">
        <v>28.167335510000001</v>
      </c>
      <c r="M1589">
        <v>3.3381628989999999</v>
      </c>
      <c r="N1589">
        <v>1</v>
      </c>
      <c r="O1589">
        <v>3.3381628989999999</v>
      </c>
    </row>
    <row r="1590" spans="1:15">
      <c r="A1590">
        <v>-0.52520279000000003</v>
      </c>
      <c r="B1590">
        <v>0.17271017299999999</v>
      </c>
      <c r="C1590">
        <v>-0.26260139500000002</v>
      </c>
      <c r="D1590">
        <v>-0.24674222100000001</v>
      </c>
      <c r="E1590">
        <v>7</v>
      </c>
      <c r="F1590">
        <v>43</v>
      </c>
      <c r="G1590">
        <v>12</v>
      </c>
      <c r="H1590">
        <v>1</v>
      </c>
      <c r="I1590">
        <v>2</v>
      </c>
      <c r="J1590">
        <v>38.239093779999997</v>
      </c>
      <c r="K1590">
        <v>18.44878387</v>
      </c>
      <c r="L1590">
        <v>18.44878387</v>
      </c>
      <c r="M1590">
        <v>2.9149985310000002</v>
      </c>
      <c r="N1590">
        <v>1</v>
      </c>
      <c r="O1590">
        <v>2.9149985310000002</v>
      </c>
    </row>
    <row r="1591" spans="1:15">
      <c r="A1591">
        <v>0.67486830399999997</v>
      </c>
      <c r="B1591">
        <v>-0.66835281999999996</v>
      </c>
      <c r="C1591">
        <v>0.33743415199999999</v>
      </c>
      <c r="D1591">
        <v>-1.6570699999999999E-4</v>
      </c>
      <c r="E1591">
        <v>8</v>
      </c>
      <c r="F1591">
        <v>39</v>
      </c>
      <c r="G1591">
        <v>16</v>
      </c>
      <c r="H1591">
        <v>1</v>
      </c>
      <c r="I1591">
        <v>0</v>
      </c>
      <c r="J1591">
        <v>32.598011020000001</v>
      </c>
      <c r="K1591">
        <v>28.84921074</v>
      </c>
      <c r="L1591">
        <v>28.84921074</v>
      </c>
      <c r="M1591">
        <v>3.3620827200000001</v>
      </c>
      <c r="N1591">
        <v>1</v>
      </c>
      <c r="O1591">
        <v>3.3620827200000001</v>
      </c>
    </row>
    <row r="1592" spans="1:15">
      <c r="A1592">
        <v>1.4016015159999999</v>
      </c>
      <c r="B1592">
        <v>-1.726708219</v>
      </c>
      <c r="C1592">
        <v>0.70080075799999997</v>
      </c>
      <c r="D1592">
        <v>-0.240973824</v>
      </c>
      <c r="E1592">
        <v>9</v>
      </c>
      <c r="F1592">
        <v>41</v>
      </c>
      <c r="G1592">
        <v>16</v>
      </c>
      <c r="H1592">
        <v>1</v>
      </c>
      <c r="I1592">
        <v>0</v>
      </c>
      <c r="J1592">
        <v>30.508314129999999</v>
      </c>
      <c r="K1592">
        <v>33.609607699999998</v>
      </c>
      <c r="L1592">
        <v>33.609607699999998</v>
      </c>
      <c r="M1592">
        <v>3.5148119929999999</v>
      </c>
      <c r="N1592">
        <v>1</v>
      </c>
      <c r="O1592">
        <v>3.5148119929999999</v>
      </c>
    </row>
    <row r="1593" spans="1:15">
      <c r="A1593">
        <v>-0.267784674</v>
      </c>
      <c r="B1593">
        <v>0.80884626699999995</v>
      </c>
      <c r="C1593">
        <v>-0.133892337</v>
      </c>
      <c r="D1593">
        <v>0.38637037499999999</v>
      </c>
      <c r="E1593">
        <v>0</v>
      </c>
      <c r="F1593">
        <v>22</v>
      </c>
      <c r="G1593">
        <v>12</v>
      </c>
      <c r="H1593">
        <v>0</v>
      </c>
      <c r="I1593">
        <v>0</v>
      </c>
      <c r="J1593">
        <v>22.436445240000001</v>
      </c>
      <c r="K1593">
        <v>15.79329205</v>
      </c>
      <c r="N1593">
        <v>0</v>
      </c>
      <c r="O1593">
        <v>0</v>
      </c>
    </row>
    <row r="1594" spans="1:15">
      <c r="A1594">
        <v>0.88309055000000003</v>
      </c>
      <c r="B1594">
        <v>0.28961856200000002</v>
      </c>
      <c r="C1594">
        <v>0.44154527500000001</v>
      </c>
      <c r="D1594">
        <v>0.82702858499999998</v>
      </c>
      <c r="E1594">
        <v>1</v>
      </c>
      <c r="F1594">
        <v>31</v>
      </c>
      <c r="G1594">
        <v>10</v>
      </c>
      <c r="H1594">
        <v>0</v>
      </c>
      <c r="I1594">
        <v>0</v>
      </c>
      <c r="J1594">
        <v>29.824342730000001</v>
      </c>
      <c r="K1594">
        <v>22.498542789999998</v>
      </c>
      <c r="L1594">
        <v>22.498542789999998</v>
      </c>
      <c r="M1594">
        <v>3.1134505269999999</v>
      </c>
      <c r="N1594">
        <v>1</v>
      </c>
      <c r="O1594">
        <v>3.1134505269999999</v>
      </c>
    </row>
    <row r="1595" spans="1:15">
      <c r="A1595">
        <v>0.60005890200000001</v>
      </c>
      <c r="B1595">
        <v>-1.3249356160000001</v>
      </c>
      <c r="C1595">
        <v>0.300029451</v>
      </c>
      <c r="D1595">
        <v>-0.5193468</v>
      </c>
      <c r="E1595">
        <v>2</v>
      </c>
      <c r="F1595">
        <v>33</v>
      </c>
      <c r="G1595">
        <v>10</v>
      </c>
      <c r="H1595">
        <v>0</v>
      </c>
      <c r="I1595">
        <v>0</v>
      </c>
      <c r="J1595">
        <v>14.46783829</v>
      </c>
      <c r="K1595">
        <v>21.200353620000001</v>
      </c>
      <c r="N1595">
        <v>0</v>
      </c>
      <c r="O1595">
        <v>0</v>
      </c>
    </row>
    <row r="1596" spans="1:15">
      <c r="A1596">
        <v>1.7076941219999999</v>
      </c>
      <c r="B1596">
        <v>0.70446578299999996</v>
      </c>
      <c r="C1596">
        <v>0.85384706099999996</v>
      </c>
      <c r="D1596">
        <v>1.7018980720000001</v>
      </c>
      <c r="E1596">
        <v>3</v>
      </c>
      <c r="F1596">
        <v>28</v>
      </c>
      <c r="G1596">
        <v>12</v>
      </c>
      <c r="H1596">
        <v>1</v>
      </c>
      <c r="I1596">
        <v>1</v>
      </c>
      <c r="J1596">
        <v>50.622776029999997</v>
      </c>
      <c r="K1596">
        <v>28.846164699999999</v>
      </c>
      <c r="L1596">
        <v>28.846164699999999</v>
      </c>
      <c r="M1596">
        <v>3.3619770999999998</v>
      </c>
      <c r="N1596">
        <v>1</v>
      </c>
      <c r="O1596">
        <v>3.3619770999999998</v>
      </c>
    </row>
    <row r="1597" spans="1:15">
      <c r="A1597">
        <v>-0.54750758799999999</v>
      </c>
      <c r="B1597">
        <v>0.20143356000000001</v>
      </c>
      <c r="C1597">
        <v>-0.27375379399999999</v>
      </c>
      <c r="D1597">
        <v>-0.24202280600000001</v>
      </c>
      <c r="E1597">
        <v>4</v>
      </c>
      <c r="F1597">
        <v>39</v>
      </c>
      <c r="G1597">
        <v>12</v>
      </c>
      <c r="H1597">
        <v>0</v>
      </c>
      <c r="I1597">
        <v>3</v>
      </c>
      <c r="J1597">
        <v>36.695724490000003</v>
      </c>
      <c r="K1597">
        <v>17.514953609999999</v>
      </c>
      <c r="L1597">
        <v>17.514953609999999</v>
      </c>
      <c r="M1597">
        <v>2.8630549909999998</v>
      </c>
      <c r="N1597">
        <v>1</v>
      </c>
      <c r="O1597">
        <v>2.8630549909999998</v>
      </c>
    </row>
    <row r="1598" spans="1:15">
      <c r="A1598">
        <v>2.5616741300000001</v>
      </c>
      <c r="B1598">
        <v>-0.39885331099999999</v>
      </c>
      <c r="C1598">
        <v>1.2808370650000001</v>
      </c>
      <c r="D1598">
        <v>1.5186544900000001</v>
      </c>
      <c r="E1598">
        <v>5</v>
      </c>
      <c r="F1598">
        <v>39</v>
      </c>
      <c r="G1598">
        <v>12</v>
      </c>
      <c r="H1598">
        <v>1</v>
      </c>
      <c r="I1598">
        <v>3</v>
      </c>
      <c r="J1598">
        <v>62.823852539999997</v>
      </c>
      <c r="K1598">
        <v>36.17004395</v>
      </c>
      <c r="L1598">
        <v>36.17004395</v>
      </c>
      <c r="M1598">
        <v>3.5882313250000002</v>
      </c>
      <c r="N1598">
        <v>1</v>
      </c>
      <c r="O1598">
        <v>3.5882313250000002</v>
      </c>
    </row>
    <row r="1599" spans="1:15">
      <c r="A1599">
        <v>-0.63516872099999999</v>
      </c>
      <c r="B1599">
        <v>0.149004678</v>
      </c>
      <c r="C1599">
        <v>-0.31758436099999998</v>
      </c>
      <c r="D1599">
        <v>-0.34094506800000002</v>
      </c>
      <c r="E1599">
        <v>6</v>
      </c>
      <c r="F1599">
        <v>33</v>
      </c>
      <c r="G1599">
        <v>16</v>
      </c>
      <c r="H1599">
        <v>1</v>
      </c>
      <c r="I1599">
        <v>0</v>
      </c>
      <c r="J1599">
        <v>26.10865974</v>
      </c>
      <c r="K1599">
        <v>19.788988109999998</v>
      </c>
      <c r="N1599">
        <v>0</v>
      </c>
      <c r="O1599">
        <v>0</v>
      </c>
    </row>
    <row r="1600" spans="1:15">
      <c r="A1600">
        <v>0.87307145200000003</v>
      </c>
      <c r="B1600">
        <v>0.786235821</v>
      </c>
      <c r="C1600">
        <v>0.43653572600000001</v>
      </c>
      <c r="D1600">
        <v>1.172866704</v>
      </c>
      <c r="E1600">
        <v>7</v>
      </c>
      <c r="F1600">
        <v>34</v>
      </c>
      <c r="G1600">
        <v>16</v>
      </c>
      <c r="H1600">
        <v>1</v>
      </c>
      <c r="I1600">
        <v>1</v>
      </c>
      <c r="J1600">
        <v>49.674400329999997</v>
      </c>
      <c r="K1600">
        <v>29.038429260000001</v>
      </c>
      <c r="L1600">
        <v>29.038429260000001</v>
      </c>
      <c r="M1600">
        <v>3.3686201570000001</v>
      </c>
      <c r="N1600">
        <v>1</v>
      </c>
      <c r="O1600">
        <v>3.3686201570000001</v>
      </c>
    </row>
    <row r="1601" spans="1:15">
      <c r="A1601">
        <v>0.74958324899999995</v>
      </c>
      <c r="B1601">
        <v>0.995150486</v>
      </c>
      <c r="C1601">
        <v>0.37479162500000002</v>
      </c>
      <c r="D1601">
        <v>1.2344465229999999</v>
      </c>
      <c r="E1601">
        <v>8</v>
      </c>
      <c r="F1601">
        <v>39</v>
      </c>
      <c r="G1601">
        <v>12</v>
      </c>
      <c r="H1601">
        <v>1</v>
      </c>
      <c r="I1601">
        <v>3</v>
      </c>
      <c r="J1601">
        <v>59.413356780000001</v>
      </c>
      <c r="K1601">
        <v>25.297498699999998</v>
      </c>
      <c r="L1601">
        <v>25.297498699999998</v>
      </c>
      <c r="M1601">
        <v>3.2307055</v>
      </c>
      <c r="N1601">
        <v>1</v>
      </c>
      <c r="O1601">
        <v>3.2307055</v>
      </c>
    </row>
    <row r="1602" spans="1:15">
      <c r="A1602">
        <v>0.34653930100000002</v>
      </c>
      <c r="B1602">
        <v>-0.60045567399999999</v>
      </c>
      <c r="C1602">
        <v>0.173269651</v>
      </c>
      <c r="D1602">
        <v>-0.18289033699999999</v>
      </c>
      <c r="E1602">
        <v>9</v>
      </c>
      <c r="F1602">
        <v>47</v>
      </c>
      <c r="G1602">
        <v>16</v>
      </c>
      <c r="H1602">
        <v>1</v>
      </c>
      <c r="I1602">
        <v>1</v>
      </c>
      <c r="J1602">
        <v>38.605316160000001</v>
      </c>
      <c r="K1602">
        <v>28.4792366</v>
      </c>
      <c r="L1602">
        <v>28.4792366</v>
      </c>
      <c r="M1602">
        <v>3.3491752149999998</v>
      </c>
      <c r="N1602">
        <v>1</v>
      </c>
      <c r="O1602">
        <v>3.3491752149999998</v>
      </c>
    </row>
    <row r="1603" spans="1:15">
      <c r="A1603">
        <v>0.243003211</v>
      </c>
      <c r="B1603">
        <v>1.9814909919999999</v>
      </c>
      <c r="C1603">
        <v>0.121501605</v>
      </c>
      <c r="D1603">
        <v>1.578954376</v>
      </c>
      <c r="E1603">
        <v>0</v>
      </c>
      <c r="F1603">
        <v>20</v>
      </c>
      <c r="G1603">
        <v>12</v>
      </c>
      <c r="H1603">
        <v>0</v>
      </c>
      <c r="I1603">
        <v>1</v>
      </c>
      <c r="J1603">
        <v>40.947452550000001</v>
      </c>
      <c r="K1603">
        <v>18.45801926</v>
      </c>
      <c r="L1603">
        <v>18.45801926</v>
      </c>
      <c r="M1603">
        <v>2.915498972</v>
      </c>
      <c r="N1603">
        <v>1</v>
      </c>
      <c r="O1603">
        <v>2.915498972</v>
      </c>
    </row>
    <row r="1604" spans="1:15">
      <c r="A1604">
        <v>1.186227352</v>
      </c>
      <c r="B1604">
        <v>0.79006407499999998</v>
      </c>
      <c r="C1604">
        <v>0.59311367599999998</v>
      </c>
      <c r="D1604">
        <v>1.3958840830000001</v>
      </c>
      <c r="E1604">
        <v>1</v>
      </c>
      <c r="F1604">
        <v>34</v>
      </c>
      <c r="G1604">
        <v>12</v>
      </c>
      <c r="H1604">
        <v>1</v>
      </c>
      <c r="I1604">
        <v>0</v>
      </c>
      <c r="J1604">
        <v>44.350608829999999</v>
      </c>
      <c r="K1604">
        <v>26.917364119999998</v>
      </c>
      <c r="L1604">
        <v>26.917364119999998</v>
      </c>
      <c r="M1604">
        <v>3.292771578</v>
      </c>
      <c r="N1604">
        <v>1</v>
      </c>
      <c r="O1604">
        <v>3.292771578</v>
      </c>
    </row>
    <row r="1605" spans="1:15">
      <c r="A1605">
        <v>0.13730025300000001</v>
      </c>
      <c r="B1605">
        <v>-0.44221709199999998</v>
      </c>
      <c r="C1605">
        <v>6.8650127000000005E-2</v>
      </c>
      <c r="D1605">
        <v>-0.21764343799999999</v>
      </c>
      <c r="E1605">
        <v>2</v>
      </c>
      <c r="F1605">
        <v>25</v>
      </c>
      <c r="G1605">
        <v>10</v>
      </c>
      <c r="H1605">
        <v>1</v>
      </c>
      <c r="I1605">
        <v>1</v>
      </c>
      <c r="J1605">
        <v>24.888278960000001</v>
      </c>
      <c r="K1605">
        <v>16.823801039999999</v>
      </c>
      <c r="N1605">
        <v>0</v>
      </c>
      <c r="O1605">
        <v>0</v>
      </c>
    </row>
    <row r="1606" spans="1:15">
      <c r="A1606">
        <v>-1.0459184100000001</v>
      </c>
      <c r="B1606">
        <v>0.62925707600000003</v>
      </c>
      <c r="C1606">
        <v>-0.52295920500000004</v>
      </c>
      <c r="D1606">
        <v>-0.288639127</v>
      </c>
      <c r="E1606">
        <v>3</v>
      </c>
      <c r="F1606">
        <v>29</v>
      </c>
      <c r="G1606">
        <v>10</v>
      </c>
      <c r="H1606">
        <v>0</v>
      </c>
      <c r="I1606">
        <v>1</v>
      </c>
      <c r="J1606">
        <v>20.63632965</v>
      </c>
      <c r="K1606">
        <v>10.5244894</v>
      </c>
      <c r="N1606">
        <v>0</v>
      </c>
      <c r="O1606">
        <v>0</v>
      </c>
    </row>
    <row r="1607" spans="1:15">
      <c r="A1607">
        <v>0.53623460199999995</v>
      </c>
      <c r="B1607">
        <v>-1.4682465819999999</v>
      </c>
      <c r="C1607">
        <v>0.26811730099999997</v>
      </c>
      <c r="D1607">
        <v>-0.66607945599999996</v>
      </c>
      <c r="E1607">
        <v>4</v>
      </c>
      <c r="F1607">
        <v>35</v>
      </c>
      <c r="G1607">
        <v>16</v>
      </c>
      <c r="H1607">
        <v>1</v>
      </c>
      <c r="I1607">
        <v>4</v>
      </c>
      <c r="J1607">
        <v>43.007045750000003</v>
      </c>
      <c r="K1607">
        <v>27.217407229999999</v>
      </c>
      <c r="L1607">
        <v>27.217407229999999</v>
      </c>
      <c r="M1607">
        <v>3.3038568499999998</v>
      </c>
      <c r="N1607">
        <v>1</v>
      </c>
      <c r="O1607">
        <v>3.3038568499999998</v>
      </c>
    </row>
    <row r="1608" spans="1:15">
      <c r="A1608">
        <v>-0.71292690199999997</v>
      </c>
      <c r="B1608">
        <v>-0.55837356100000002</v>
      </c>
      <c r="C1608">
        <v>-0.35646345099999999</v>
      </c>
      <c r="D1608">
        <v>-0.89829477700000004</v>
      </c>
      <c r="E1608">
        <v>5</v>
      </c>
      <c r="F1608">
        <v>34</v>
      </c>
      <c r="G1608">
        <v>12</v>
      </c>
      <c r="H1608">
        <v>1</v>
      </c>
      <c r="I1608">
        <v>0</v>
      </c>
      <c r="J1608">
        <v>16.820463180000001</v>
      </c>
      <c r="K1608">
        <v>15.522439</v>
      </c>
      <c r="N1608">
        <v>0</v>
      </c>
      <c r="O1608">
        <v>0</v>
      </c>
    </row>
    <row r="1609" spans="1:15">
      <c r="A1609">
        <v>-1.171848459</v>
      </c>
      <c r="B1609">
        <v>-0.99008929999999995</v>
      </c>
      <c r="C1609">
        <v>-0.58592422899999996</v>
      </c>
      <c r="D1609">
        <v>-1.5279028290000001</v>
      </c>
      <c r="E1609">
        <v>6</v>
      </c>
      <c r="F1609">
        <v>40</v>
      </c>
      <c r="G1609">
        <v>16</v>
      </c>
      <c r="H1609">
        <v>1</v>
      </c>
      <c r="I1609">
        <v>1</v>
      </c>
      <c r="J1609">
        <v>19.665166849999999</v>
      </c>
      <c r="K1609">
        <v>17.96890831</v>
      </c>
      <c r="N1609">
        <v>0</v>
      </c>
      <c r="O1609">
        <v>0</v>
      </c>
    </row>
    <row r="1610" spans="1:15">
      <c r="A1610">
        <v>-1.4721058709999999</v>
      </c>
      <c r="B1610">
        <v>9.9363164000000004E-2</v>
      </c>
      <c r="C1610">
        <v>-0.73605293599999999</v>
      </c>
      <c r="D1610">
        <v>-0.96498303399999996</v>
      </c>
      <c r="E1610">
        <v>7</v>
      </c>
      <c r="F1610">
        <v>36</v>
      </c>
      <c r="G1610">
        <v>10</v>
      </c>
      <c r="H1610">
        <v>1</v>
      </c>
      <c r="I1610">
        <v>4</v>
      </c>
      <c r="J1610">
        <v>35.320201869999998</v>
      </c>
      <c r="K1610">
        <v>9.3673648830000005</v>
      </c>
      <c r="L1610">
        <v>9.3673648830000005</v>
      </c>
      <c r="M1610">
        <v>2.2372317310000001</v>
      </c>
      <c r="N1610">
        <v>1</v>
      </c>
      <c r="O1610">
        <v>2.2372317310000001</v>
      </c>
    </row>
    <row r="1611" spans="1:15">
      <c r="A1611">
        <v>-0.896778195</v>
      </c>
      <c r="B1611">
        <v>-0.57459637299999999</v>
      </c>
      <c r="C1611">
        <v>-0.44838909700000001</v>
      </c>
      <c r="D1611">
        <v>-1.039157026</v>
      </c>
      <c r="E1611">
        <v>8</v>
      </c>
      <c r="F1611">
        <v>42</v>
      </c>
      <c r="G1611">
        <v>16</v>
      </c>
      <c r="H1611">
        <v>1</v>
      </c>
      <c r="I1611">
        <v>1</v>
      </c>
      <c r="J1611">
        <v>26.330116270000001</v>
      </c>
      <c r="K1611">
        <v>20.019330979999999</v>
      </c>
      <c r="N1611">
        <v>0</v>
      </c>
      <c r="O1611">
        <v>0</v>
      </c>
    </row>
    <row r="1612" spans="1:15">
      <c r="A1612">
        <v>0.194008812</v>
      </c>
      <c r="B1612">
        <v>0.20822974</v>
      </c>
      <c r="C1612">
        <v>9.7004406000000001E-2</v>
      </c>
      <c r="D1612">
        <v>0.28444408599999998</v>
      </c>
      <c r="E1612">
        <v>9</v>
      </c>
      <c r="F1612">
        <v>38</v>
      </c>
      <c r="G1612">
        <v>16</v>
      </c>
      <c r="H1612">
        <v>1</v>
      </c>
      <c r="I1612">
        <v>3</v>
      </c>
      <c r="J1612">
        <v>50.613330840000003</v>
      </c>
      <c r="K1612">
        <v>25.76405334</v>
      </c>
      <c r="L1612">
        <v>25.76405334</v>
      </c>
      <c r="M1612">
        <v>3.2489802839999999</v>
      </c>
      <c r="N1612">
        <v>1</v>
      </c>
      <c r="O1612">
        <v>3.2489802839999999</v>
      </c>
    </row>
    <row r="1613" spans="1:15">
      <c r="A1613">
        <v>-2.212562771</v>
      </c>
      <c r="B1613">
        <v>0.171897626</v>
      </c>
      <c r="C1613">
        <v>-1.106281385</v>
      </c>
      <c r="D1613">
        <v>-1.434333826</v>
      </c>
      <c r="E1613">
        <v>0</v>
      </c>
      <c r="F1613">
        <v>26</v>
      </c>
      <c r="G1613">
        <v>20</v>
      </c>
      <c r="H1613">
        <v>1</v>
      </c>
      <c r="I1613">
        <v>0</v>
      </c>
      <c r="J1613">
        <v>13.187994</v>
      </c>
      <c r="K1613">
        <v>12.92462349</v>
      </c>
      <c r="N1613">
        <v>0</v>
      </c>
      <c r="O1613">
        <v>0</v>
      </c>
    </row>
    <row r="1614" spans="1:15">
      <c r="A1614">
        <v>-0.247776156</v>
      </c>
      <c r="B1614">
        <v>-0.35258012</v>
      </c>
      <c r="C1614">
        <v>-0.123888078</v>
      </c>
      <c r="D1614">
        <v>-0.42484051900000003</v>
      </c>
      <c r="E1614">
        <v>1</v>
      </c>
      <c r="F1614">
        <v>28</v>
      </c>
      <c r="G1614">
        <v>10</v>
      </c>
      <c r="H1614">
        <v>0</v>
      </c>
      <c r="I1614">
        <v>2</v>
      </c>
      <c r="J1614">
        <v>23.601913450000001</v>
      </c>
      <c r="K1614">
        <v>15.113343240000001</v>
      </c>
      <c r="N1614">
        <v>0</v>
      </c>
      <c r="O1614">
        <v>0</v>
      </c>
    </row>
    <row r="1615" spans="1:15">
      <c r="A1615">
        <v>-0.37052009000000002</v>
      </c>
      <c r="B1615">
        <v>-1.296448209</v>
      </c>
      <c r="C1615">
        <v>-0.18526004500000001</v>
      </c>
      <c r="D1615">
        <v>-1.1818815060000001</v>
      </c>
      <c r="E1615">
        <v>2</v>
      </c>
      <c r="F1615">
        <v>27</v>
      </c>
      <c r="G1615">
        <v>10</v>
      </c>
      <c r="H1615">
        <v>1</v>
      </c>
      <c r="I1615">
        <v>0</v>
      </c>
      <c r="J1615">
        <v>9.1174221039999992</v>
      </c>
      <c r="K1615">
        <v>14.17687988</v>
      </c>
      <c r="N1615">
        <v>0</v>
      </c>
      <c r="O1615">
        <v>0</v>
      </c>
    </row>
    <row r="1616" spans="1:15">
      <c r="A1616">
        <v>1.1376022139999999</v>
      </c>
      <c r="B1616">
        <v>-0.39983260500000001</v>
      </c>
      <c r="C1616">
        <v>0.56880110699999997</v>
      </c>
      <c r="D1616">
        <v>0.51616076</v>
      </c>
      <c r="E1616">
        <v>3</v>
      </c>
      <c r="F1616">
        <v>27</v>
      </c>
      <c r="G1616">
        <v>10</v>
      </c>
      <c r="H1616">
        <v>1</v>
      </c>
      <c r="I1616">
        <v>0</v>
      </c>
      <c r="J1616">
        <v>29.493928910000001</v>
      </c>
      <c r="K1616">
        <v>23.225612640000001</v>
      </c>
      <c r="L1616">
        <v>23.225612640000001</v>
      </c>
      <c r="M1616">
        <v>3.1452555659999999</v>
      </c>
      <c r="N1616">
        <v>1</v>
      </c>
      <c r="O1616">
        <v>3.1452555659999999</v>
      </c>
    </row>
    <row r="1617" spans="1:15">
      <c r="A1617">
        <v>-1.6779149609999999</v>
      </c>
      <c r="B1617">
        <v>-0.82301883099999995</v>
      </c>
      <c r="C1617">
        <v>-0.838957481</v>
      </c>
      <c r="D1617">
        <v>-1.7651906260000001</v>
      </c>
      <c r="E1617">
        <v>4</v>
      </c>
      <c r="F1617">
        <v>31</v>
      </c>
      <c r="G1617">
        <v>20</v>
      </c>
      <c r="H1617">
        <v>0</v>
      </c>
      <c r="I1617">
        <v>2</v>
      </c>
      <c r="J1617">
        <v>16.2177124</v>
      </c>
      <c r="K1617">
        <v>17.132511139999998</v>
      </c>
      <c r="N1617">
        <v>0</v>
      </c>
      <c r="O1617">
        <v>0</v>
      </c>
    </row>
    <row r="1618" spans="1:15">
      <c r="A1618">
        <v>-7.6908949999999997E-3</v>
      </c>
      <c r="B1618">
        <v>2.4927264710000001</v>
      </c>
      <c r="C1618">
        <v>-3.845448E-3</v>
      </c>
      <c r="D1618">
        <v>1.7658712489999999</v>
      </c>
      <c r="E1618">
        <v>5</v>
      </c>
      <c r="F1618">
        <v>59</v>
      </c>
      <c r="G1618">
        <v>12</v>
      </c>
      <c r="H1618">
        <v>1</v>
      </c>
      <c r="I1618">
        <v>0</v>
      </c>
      <c r="J1618">
        <v>58.790454859999997</v>
      </c>
      <c r="K1618">
        <v>24.753854749999999</v>
      </c>
      <c r="L1618">
        <v>24.753854749999999</v>
      </c>
      <c r="M1618">
        <v>3.2089812759999998</v>
      </c>
      <c r="N1618">
        <v>1</v>
      </c>
      <c r="O1618">
        <v>3.2089812759999998</v>
      </c>
    </row>
    <row r="1619" spans="1:15">
      <c r="A1619">
        <v>-0.26624451799999999</v>
      </c>
      <c r="B1619">
        <v>-0.85106475100000001</v>
      </c>
      <c r="C1619">
        <v>-0.13312225899999999</v>
      </c>
      <c r="D1619">
        <v>-0.79204574900000002</v>
      </c>
      <c r="E1619">
        <v>6</v>
      </c>
      <c r="F1619">
        <v>34</v>
      </c>
      <c r="G1619">
        <v>20</v>
      </c>
      <c r="H1619">
        <v>0</v>
      </c>
      <c r="I1619">
        <v>2</v>
      </c>
      <c r="J1619">
        <v>29.095451350000001</v>
      </c>
      <c r="K1619">
        <v>26.202533720000002</v>
      </c>
      <c r="N1619">
        <v>0</v>
      </c>
      <c r="O1619">
        <v>0</v>
      </c>
    </row>
    <row r="1620" spans="1:15">
      <c r="A1620">
        <v>-0.26231990900000002</v>
      </c>
      <c r="B1620">
        <v>-1.6007875540000001</v>
      </c>
      <c r="C1620">
        <v>-0.13115995499999999</v>
      </c>
      <c r="D1620">
        <v>-1.322022923</v>
      </c>
      <c r="E1620">
        <v>7</v>
      </c>
      <c r="F1620">
        <v>49</v>
      </c>
      <c r="G1620">
        <v>16</v>
      </c>
      <c r="H1620">
        <v>1</v>
      </c>
      <c r="I1620">
        <v>1</v>
      </c>
      <c r="J1620">
        <v>25.7357254</v>
      </c>
      <c r="K1620">
        <v>25.226079940000002</v>
      </c>
      <c r="N1620">
        <v>0</v>
      </c>
      <c r="O1620">
        <v>0</v>
      </c>
    </row>
    <row r="1621" spans="1:15">
      <c r="A1621">
        <v>1.0316529670000001</v>
      </c>
      <c r="B1621">
        <v>1.104904281</v>
      </c>
      <c r="C1621">
        <v>0.515826483</v>
      </c>
      <c r="D1621">
        <v>1.5108641460000001</v>
      </c>
      <c r="E1621">
        <v>8</v>
      </c>
      <c r="F1621">
        <v>36</v>
      </c>
      <c r="G1621">
        <v>10</v>
      </c>
      <c r="H1621">
        <v>1</v>
      </c>
      <c r="I1621">
        <v>0</v>
      </c>
      <c r="J1621">
        <v>45.030368799999998</v>
      </c>
      <c r="K1621">
        <v>24.389917369999999</v>
      </c>
      <c r="L1621">
        <v>24.389917369999999</v>
      </c>
      <c r="M1621">
        <v>3.1941697599999999</v>
      </c>
      <c r="N1621">
        <v>1</v>
      </c>
      <c r="O1621">
        <v>3.1941697599999999</v>
      </c>
    </row>
    <row r="1622" spans="1:15">
      <c r="A1622">
        <v>-0.60553666900000003</v>
      </c>
      <c r="B1622">
        <v>1.5428987110000001</v>
      </c>
      <c r="C1622">
        <v>-0.30276833399999997</v>
      </c>
      <c r="D1622">
        <v>0.67037354999999998</v>
      </c>
      <c r="E1622">
        <v>9</v>
      </c>
      <c r="F1622">
        <v>43</v>
      </c>
      <c r="G1622">
        <v>16</v>
      </c>
      <c r="H1622">
        <v>1</v>
      </c>
      <c r="I1622">
        <v>1</v>
      </c>
      <c r="J1622">
        <v>47.244483950000003</v>
      </c>
      <c r="K1622">
        <v>21.966779710000001</v>
      </c>
      <c r="L1622">
        <v>21.966779710000001</v>
      </c>
      <c r="M1622">
        <v>3.0895311830000001</v>
      </c>
      <c r="N1622">
        <v>1</v>
      </c>
      <c r="O1622">
        <v>3.0895311830000001</v>
      </c>
    </row>
    <row r="1623" spans="1:15">
      <c r="A1623">
        <v>-0.53345102499999997</v>
      </c>
      <c r="B1623">
        <v>-0.45004416000000003</v>
      </c>
      <c r="C1623">
        <v>-0.266725512</v>
      </c>
      <c r="D1623">
        <v>-0.69506142000000004</v>
      </c>
      <c r="E1623">
        <v>0</v>
      </c>
      <c r="F1623">
        <v>20</v>
      </c>
      <c r="G1623">
        <v>10</v>
      </c>
      <c r="H1623">
        <v>0</v>
      </c>
      <c r="I1623">
        <v>2</v>
      </c>
      <c r="J1623">
        <v>17.15926361</v>
      </c>
      <c r="K1623">
        <v>11.799293520000001</v>
      </c>
      <c r="N1623">
        <v>0</v>
      </c>
      <c r="O1623">
        <v>0</v>
      </c>
    </row>
    <row r="1624" spans="1:15">
      <c r="A1624">
        <v>-0.28809555399999998</v>
      </c>
      <c r="B1624">
        <v>-1.5703446780000001</v>
      </c>
      <c r="C1624">
        <v>-0.14404777699999999</v>
      </c>
      <c r="D1624">
        <v>-1.3185233249999999</v>
      </c>
      <c r="E1624">
        <v>1</v>
      </c>
      <c r="F1624">
        <v>33</v>
      </c>
      <c r="G1624">
        <v>10</v>
      </c>
      <c r="H1624">
        <v>0</v>
      </c>
      <c r="I1624">
        <v>0</v>
      </c>
      <c r="J1624">
        <v>4.8777198789999998</v>
      </c>
      <c r="K1624">
        <v>15.87142658</v>
      </c>
      <c r="N1624">
        <v>0</v>
      </c>
      <c r="O1624">
        <v>0</v>
      </c>
    </row>
    <row r="1625" spans="1:15">
      <c r="A1625">
        <v>-0.15214791999999999</v>
      </c>
      <c r="B1625">
        <v>1.569940157</v>
      </c>
      <c r="C1625">
        <v>-7.6073959999999996E-2</v>
      </c>
      <c r="D1625">
        <v>1.0085359519999999</v>
      </c>
      <c r="E1625">
        <v>2</v>
      </c>
      <c r="F1625">
        <v>26</v>
      </c>
      <c r="G1625">
        <v>10</v>
      </c>
      <c r="H1625">
        <v>0</v>
      </c>
      <c r="I1625">
        <v>2</v>
      </c>
      <c r="J1625">
        <v>40.002429960000001</v>
      </c>
      <c r="K1625">
        <v>15.287112240000001</v>
      </c>
      <c r="L1625">
        <v>15.287112240000001</v>
      </c>
      <c r="M1625">
        <v>2.7270102500000002</v>
      </c>
      <c r="N1625">
        <v>1</v>
      </c>
      <c r="O1625">
        <v>2.7270102500000002</v>
      </c>
    </row>
    <row r="1626" spans="1:15">
      <c r="A1626">
        <v>-0.208870573</v>
      </c>
      <c r="B1626">
        <v>0.91838920899999998</v>
      </c>
      <c r="C1626">
        <v>-0.104435287</v>
      </c>
      <c r="D1626">
        <v>0.50565395099999999</v>
      </c>
      <c r="E1626">
        <v>3</v>
      </c>
      <c r="F1626">
        <v>26</v>
      </c>
      <c r="G1626">
        <v>10</v>
      </c>
      <c r="H1626">
        <v>1</v>
      </c>
      <c r="I1626">
        <v>2</v>
      </c>
      <c r="J1626">
        <v>38.967845920000002</v>
      </c>
      <c r="K1626">
        <v>14.94677639</v>
      </c>
      <c r="L1626">
        <v>14.94677639</v>
      </c>
      <c r="M1626">
        <v>2.7044956679999999</v>
      </c>
      <c r="N1626">
        <v>1</v>
      </c>
      <c r="O1626">
        <v>2.7044956679999999</v>
      </c>
    </row>
    <row r="1627" spans="1:15">
      <c r="A1627">
        <v>-0.64404919900000002</v>
      </c>
      <c r="B1627">
        <v>-1.996282527</v>
      </c>
      <c r="C1627">
        <v>-0.32202459999999999</v>
      </c>
      <c r="D1627">
        <v>-1.8715904539999999</v>
      </c>
      <c r="E1627">
        <v>4</v>
      </c>
      <c r="F1627">
        <v>47</v>
      </c>
      <c r="G1627">
        <v>16</v>
      </c>
      <c r="H1627">
        <v>0</v>
      </c>
      <c r="I1627">
        <v>4</v>
      </c>
      <c r="J1627">
        <v>28.34091377</v>
      </c>
      <c r="K1627">
        <v>22.535705570000001</v>
      </c>
      <c r="N1627">
        <v>0</v>
      </c>
      <c r="O1627">
        <v>0</v>
      </c>
    </row>
    <row r="1628" spans="1:15">
      <c r="A1628">
        <v>-1.8642718700000001</v>
      </c>
      <c r="B1628">
        <v>1.644303625</v>
      </c>
      <c r="C1628">
        <v>-0.93213593500000003</v>
      </c>
      <c r="D1628">
        <v>-0.14305789399999999</v>
      </c>
      <c r="E1628">
        <v>5</v>
      </c>
      <c r="F1628">
        <v>39</v>
      </c>
      <c r="G1628">
        <v>12</v>
      </c>
      <c r="H1628">
        <v>1</v>
      </c>
      <c r="I1628">
        <v>1</v>
      </c>
      <c r="J1628">
        <v>32.883304600000002</v>
      </c>
      <c r="K1628">
        <v>9.6143684389999997</v>
      </c>
      <c r="L1628">
        <v>9.6143684389999997</v>
      </c>
      <c r="M1628">
        <v>2.2632586959999998</v>
      </c>
      <c r="N1628">
        <v>1</v>
      </c>
      <c r="O1628">
        <v>2.2632586959999998</v>
      </c>
    </row>
    <row r="1629" spans="1:15">
      <c r="A1629">
        <v>6.0344609999999996E-3</v>
      </c>
      <c r="B1629">
        <v>1.7399842780000001</v>
      </c>
      <c r="C1629">
        <v>3.0172300000000001E-3</v>
      </c>
      <c r="D1629">
        <v>1.24064313</v>
      </c>
      <c r="E1629">
        <v>6</v>
      </c>
      <c r="F1629">
        <v>45</v>
      </c>
      <c r="G1629">
        <v>16</v>
      </c>
      <c r="H1629">
        <v>1</v>
      </c>
      <c r="I1629">
        <v>0</v>
      </c>
      <c r="J1629">
        <v>49.887718200000002</v>
      </c>
      <c r="K1629">
        <v>26.0362072</v>
      </c>
      <c r="L1629">
        <v>26.0362072</v>
      </c>
      <c r="M1629">
        <v>3.2594881060000001</v>
      </c>
      <c r="N1629">
        <v>1</v>
      </c>
      <c r="O1629">
        <v>3.2594881060000001</v>
      </c>
    </row>
    <row r="1630" spans="1:15">
      <c r="A1630">
        <v>1.2225246460000001</v>
      </c>
      <c r="B1630">
        <v>0.15496500499999999</v>
      </c>
      <c r="C1630">
        <v>0.61126232300000005</v>
      </c>
      <c r="D1630">
        <v>0.97012959200000004</v>
      </c>
      <c r="E1630">
        <v>7</v>
      </c>
      <c r="F1630">
        <v>34</v>
      </c>
      <c r="G1630">
        <v>10</v>
      </c>
      <c r="H1630">
        <v>1</v>
      </c>
      <c r="I1630">
        <v>1</v>
      </c>
      <c r="J1630">
        <v>42.741554260000001</v>
      </c>
      <c r="K1630">
        <v>25.13514709</v>
      </c>
      <c r="L1630">
        <v>25.13514709</v>
      </c>
      <c r="M1630">
        <v>3.224267244</v>
      </c>
      <c r="N1630">
        <v>1</v>
      </c>
      <c r="O1630">
        <v>3.224267244</v>
      </c>
    </row>
    <row r="1631" spans="1:15">
      <c r="A1631">
        <v>0.33369227499999998</v>
      </c>
      <c r="B1631">
        <v>-0.93554363200000001</v>
      </c>
      <c r="C1631">
        <v>0.166846138</v>
      </c>
      <c r="D1631">
        <v>-0.430034692</v>
      </c>
      <c r="E1631">
        <v>8</v>
      </c>
      <c r="F1631">
        <v>37</v>
      </c>
      <c r="G1631">
        <v>12</v>
      </c>
      <c r="H1631">
        <v>1</v>
      </c>
      <c r="I1631">
        <v>4</v>
      </c>
      <c r="J1631">
        <v>43.639583590000001</v>
      </c>
      <c r="K1631">
        <v>22.40215302</v>
      </c>
      <c r="L1631">
        <v>22.40215302</v>
      </c>
      <c r="M1631">
        <v>3.1091570850000001</v>
      </c>
      <c r="N1631">
        <v>1</v>
      </c>
      <c r="O1631">
        <v>3.1091570850000001</v>
      </c>
    </row>
    <row r="1632" spans="1:15">
      <c r="A1632">
        <v>0.32109955600000001</v>
      </c>
      <c r="B1632">
        <v>-0.90543201900000003</v>
      </c>
      <c r="C1632">
        <v>0.160549778</v>
      </c>
      <c r="D1632">
        <v>-0.417496635</v>
      </c>
      <c r="E1632">
        <v>9</v>
      </c>
      <c r="F1632">
        <v>42</v>
      </c>
      <c r="G1632">
        <v>16</v>
      </c>
      <c r="H1632">
        <v>1</v>
      </c>
      <c r="I1632">
        <v>3</v>
      </c>
      <c r="J1632">
        <v>43.790039059999998</v>
      </c>
      <c r="K1632">
        <v>27.326597209999999</v>
      </c>
      <c r="L1632">
        <v>27.326597209999999</v>
      </c>
      <c r="M1632">
        <v>3.3078603740000001</v>
      </c>
      <c r="N1632">
        <v>1</v>
      </c>
      <c r="O1632">
        <v>3.3078603740000001</v>
      </c>
    </row>
    <row r="1633" spans="1:15">
      <c r="A1633">
        <v>6.1068814999999999E-2</v>
      </c>
      <c r="B1633">
        <v>4.7053761999999999E-2</v>
      </c>
      <c r="C1633">
        <v>3.0534407999999999E-2</v>
      </c>
      <c r="D1633">
        <v>7.6395799E-2</v>
      </c>
      <c r="E1633">
        <v>0</v>
      </c>
      <c r="F1633">
        <v>20</v>
      </c>
      <c r="G1633">
        <v>10</v>
      </c>
      <c r="H1633">
        <v>0</v>
      </c>
      <c r="I1633">
        <v>3</v>
      </c>
      <c r="J1633">
        <v>31.41674995</v>
      </c>
      <c r="K1633">
        <v>15.366413120000001</v>
      </c>
      <c r="L1633">
        <v>15.366413120000001</v>
      </c>
      <c r="M1633">
        <v>2.7321841720000002</v>
      </c>
      <c r="N1633">
        <v>1</v>
      </c>
      <c r="O1633">
        <v>2.7321841720000002</v>
      </c>
    </row>
    <row r="1634" spans="1:15">
      <c r="A1634">
        <v>0.27199457799999999</v>
      </c>
      <c r="B1634">
        <v>0.405068963</v>
      </c>
      <c r="C1634">
        <v>0.13599728899999999</v>
      </c>
      <c r="D1634">
        <v>0.479175077</v>
      </c>
      <c r="E1634">
        <v>1</v>
      </c>
      <c r="F1634">
        <v>22</v>
      </c>
      <c r="G1634">
        <v>16</v>
      </c>
      <c r="H1634">
        <v>0</v>
      </c>
      <c r="I1634">
        <v>4</v>
      </c>
      <c r="J1634">
        <v>46.55010223</v>
      </c>
      <c r="K1634">
        <v>23.031967160000001</v>
      </c>
      <c r="L1634">
        <v>23.031967160000001</v>
      </c>
      <c r="M1634">
        <v>3.13688302</v>
      </c>
      <c r="N1634">
        <v>1</v>
      </c>
      <c r="O1634">
        <v>3.13688302</v>
      </c>
    </row>
    <row r="1635" spans="1:15">
      <c r="A1635">
        <v>1.103129775</v>
      </c>
      <c r="B1635">
        <v>0.91234380100000001</v>
      </c>
      <c r="C1635">
        <v>0.55156488699999995</v>
      </c>
      <c r="D1635">
        <v>1.42431661</v>
      </c>
      <c r="E1635">
        <v>2</v>
      </c>
      <c r="F1635">
        <v>45</v>
      </c>
      <c r="G1635">
        <v>10</v>
      </c>
      <c r="H1635">
        <v>0</v>
      </c>
      <c r="I1635">
        <v>2</v>
      </c>
      <c r="J1635">
        <v>52.591800689999999</v>
      </c>
      <c r="K1635">
        <v>26.61877823</v>
      </c>
      <c r="L1635">
        <v>26.61877823</v>
      </c>
      <c r="M1635">
        <v>3.2816169259999999</v>
      </c>
      <c r="N1635">
        <v>1</v>
      </c>
      <c r="O1635">
        <v>3.2816169259999999</v>
      </c>
    </row>
    <row r="1636" spans="1:15">
      <c r="A1636">
        <v>-0.296444229</v>
      </c>
      <c r="B1636">
        <v>8.2233219999999999E-3</v>
      </c>
      <c r="C1636">
        <v>-0.14822211399999999</v>
      </c>
      <c r="D1636">
        <v>-0.20269754100000001</v>
      </c>
      <c r="E1636">
        <v>3</v>
      </c>
      <c r="F1636">
        <v>36</v>
      </c>
      <c r="G1636">
        <v>16</v>
      </c>
      <c r="H1636">
        <v>1</v>
      </c>
      <c r="I1636">
        <v>0</v>
      </c>
      <c r="J1636">
        <v>28.96763039</v>
      </c>
      <c r="K1636">
        <v>22.42133522</v>
      </c>
      <c r="N1636">
        <v>0</v>
      </c>
      <c r="O1636">
        <v>0</v>
      </c>
    </row>
    <row r="1637" spans="1:15">
      <c r="A1637">
        <v>-0.97895289399999996</v>
      </c>
      <c r="B1637">
        <v>1.393594582</v>
      </c>
      <c r="C1637">
        <v>-0.48947644699999998</v>
      </c>
      <c r="D1637">
        <v>0.30159233800000002</v>
      </c>
      <c r="E1637">
        <v>4</v>
      </c>
      <c r="F1637">
        <v>46</v>
      </c>
      <c r="G1637">
        <v>12</v>
      </c>
      <c r="H1637">
        <v>0</v>
      </c>
      <c r="I1637">
        <v>2</v>
      </c>
      <c r="J1637">
        <v>41.019107820000002</v>
      </c>
      <c r="K1637">
        <v>16.326282500000001</v>
      </c>
      <c r="L1637">
        <v>16.326282500000001</v>
      </c>
      <c r="M1637">
        <v>2.7927763460000001</v>
      </c>
      <c r="N1637">
        <v>1</v>
      </c>
      <c r="O1637">
        <v>2.7927763460000001</v>
      </c>
    </row>
    <row r="1638" spans="1:15">
      <c r="A1638">
        <v>0.80489204199999997</v>
      </c>
      <c r="B1638">
        <v>1.6222657030000001</v>
      </c>
      <c r="C1638">
        <v>0.40244602099999999</v>
      </c>
      <c r="D1638">
        <v>1.7189703679999999</v>
      </c>
      <c r="E1638">
        <v>5</v>
      </c>
      <c r="F1638">
        <v>34</v>
      </c>
      <c r="G1638">
        <v>20</v>
      </c>
      <c r="H1638">
        <v>1</v>
      </c>
      <c r="I1638">
        <v>1</v>
      </c>
      <c r="J1638">
        <v>59.227645870000003</v>
      </c>
      <c r="K1638">
        <v>32.629352570000002</v>
      </c>
      <c r="L1638">
        <v>32.629352570000002</v>
      </c>
      <c r="M1638">
        <v>3.4852123260000001</v>
      </c>
      <c r="N1638">
        <v>1</v>
      </c>
      <c r="O1638">
        <v>3.4852123260000001</v>
      </c>
    </row>
    <row r="1639" spans="1:15">
      <c r="A1639">
        <v>0.95247585700000004</v>
      </c>
      <c r="B1639">
        <v>0.88326239799999995</v>
      </c>
      <c r="C1639">
        <v>0.47623792799999998</v>
      </c>
      <c r="D1639">
        <v>1.297670801</v>
      </c>
      <c r="E1639">
        <v>6</v>
      </c>
      <c r="F1639">
        <v>49</v>
      </c>
      <c r="G1639">
        <v>10</v>
      </c>
      <c r="H1639">
        <v>1</v>
      </c>
      <c r="I1639">
        <v>0</v>
      </c>
      <c r="J1639">
        <v>47.672050480000003</v>
      </c>
      <c r="K1639">
        <v>26.51485443</v>
      </c>
      <c r="L1639">
        <v>26.51485443</v>
      </c>
      <c r="M1639">
        <v>3.2777051930000001</v>
      </c>
      <c r="N1639">
        <v>1</v>
      </c>
      <c r="O1639">
        <v>3.2777051930000001</v>
      </c>
    </row>
    <row r="1640" spans="1:15">
      <c r="A1640">
        <v>0.86297165899999995</v>
      </c>
      <c r="B1640">
        <v>-0.93527699799999997</v>
      </c>
      <c r="C1640">
        <v>0.43148582899999999</v>
      </c>
      <c r="D1640">
        <v>-5.7510832999999997E-2</v>
      </c>
      <c r="E1640">
        <v>7</v>
      </c>
      <c r="F1640">
        <v>39</v>
      </c>
      <c r="G1640">
        <v>16</v>
      </c>
      <c r="H1640">
        <v>1</v>
      </c>
      <c r="I1640">
        <v>3</v>
      </c>
      <c r="J1640">
        <v>46.909870150000003</v>
      </c>
      <c r="K1640">
        <v>29.97783089</v>
      </c>
      <c r="L1640">
        <v>29.97783089</v>
      </c>
      <c r="M1640">
        <v>3.400458097</v>
      </c>
      <c r="N1640">
        <v>1</v>
      </c>
      <c r="O1640">
        <v>3.400458097</v>
      </c>
    </row>
    <row r="1641" spans="1:15">
      <c r="A1641">
        <v>-0.91990907899999996</v>
      </c>
      <c r="B1641">
        <v>0.23725721799999999</v>
      </c>
      <c r="C1641">
        <v>-0.459954539</v>
      </c>
      <c r="D1641">
        <v>-0.47854207399999998</v>
      </c>
      <c r="E1641">
        <v>8</v>
      </c>
      <c r="F1641">
        <v>46</v>
      </c>
      <c r="G1641">
        <v>12</v>
      </c>
      <c r="H1641">
        <v>1</v>
      </c>
      <c r="I1641">
        <v>5</v>
      </c>
      <c r="J1641">
        <v>51.657493590000001</v>
      </c>
      <c r="K1641">
        <v>16.680545810000002</v>
      </c>
      <c r="L1641">
        <v>16.680545810000002</v>
      </c>
      <c r="M1641">
        <v>2.8142430780000001</v>
      </c>
      <c r="N1641">
        <v>1</v>
      </c>
      <c r="O1641">
        <v>2.8142430780000001</v>
      </c>
    </row>
    <row r="1642" spans="1:15">
      <c r="A1642">
        <v>-0.96603831399999995</v>
      </c>
      <c r="B1642">
        <v>0.87561064700000002</v>
      </c>
      <c r="C1642">
        <v>-0.48301915699999998</v>
      </c>
      <c r="D1642">
        <v>-5.7391616999999999E-2</v>
      </c>
      <c r="E1642">
        <v>9</v>
      </c>
      <c r="F1642">
        <v>41</v>
      </c>
      <c r="G1642">
        <v>16</v>
      </c>
      <c r="H1642">
        <v>1</v>
      </c>
      <c r="I1642">
        <v>1</v>
      </c>
      <c r="J1642">
        <v>37.7112999</v>
      </c>
      <c r="K1642">
        <v>19.40377045</v>
      </c>
      <c r="L1642">
        <v>19.40377045</v>
      </c>
      <c r="M1642">
        <v>2.965467453</v>
      </c>
      <c r="N1642">
        <v>1</v>
      </c>
      <c r="O1642">
        <v>2.965467453</v>
      </c>
    </row>
    <row r="1643" spans="1:15">
      <c r="A1643">
        <v>0.67521407700000002</v>
      </c>
      <c r="B1643">
        <v>-0.76959394999999997</v>
      </c>
      <c r="C1643">
        <v>0.33760703800000003</v>
      </c>
      <c r="D1643">
        <v>-7.1862387999999999E-2</v>
      </c>
      <c r="E1643">
        <v>0</v>
      </c>
      <c r="F1643">
        <v>21</v>
      </c>
      <c r="G1643">
        <v>10</v>
      </c>
      <c r="H1643">
        <v>0</v>
      </c>
      <c r="I1643">
        <v>3</v>
      </c>
      <c r="J1643">
        <v>30.037651060000002</v>
      </c>
      <c r="K1643">
        <v>19.251283650000001</v>
      </c>
      <c r="L1643">
        <v>19.251283650000001</v>
      </c>
      <c r="M1643">
        <v>2.9575777049999998</v>
      </c>
      <c r="N1643">
        <v>1</v>
      </c>
      <c r="O1643">
        <v>2.9575777049999998</v>
      </c>
    </row>
    <row r="1644" spans="1:15">
      <c r="A1644">
        <v>-0.90566772200000001</v>
      </c>
      <c r="B1644">
        <v>-0.168906743</v>
      </c>
      <c r="C1644">
        <v>-0.452833861</v>
      </c>
      <c r="D1644">
        <v>-0.75713563800000006</v>
      </c>
      <c r="E1644">
        <v>1</v>
      </c>
      <c r="F1644">
        <v>25</v>
      </c>
      <c r="G1644">
        <v>10</v>
      </c>
      <c r="H1644">
        <v>0</v>
      </c>
      <c r="I1644">
        <v>2</v>
      </c>
      <c r="J1644">
        <v>18.414371490000001</v>
      </c>
      <c r="K1644">
        <v>10.56599331</v>
      </c>
      <c r="N1644">
        <v>0</v>
      </c>
      <c r="O1644">
        <v>0</v>
      </c>
    </row>
    <row r="1645" spans="1:15">
      <c r="A1645">
        <v>-3.5611162000000002E-2</v>
      </c>
      <c r="B1645">
        <v>0.871140582</v>
      </c>
      <c r="C1645">
        <v>-1.7805581000000001E-2</v>
      </c>
      <c r="D1645">
        <v>0.59396354799999995</v>
      </c>
      <c r="E1645">
        <v>2</v>
      </c>
      <c r="F1645">
        <v>42</v>
      </c>
      <c r="G1645">
        <v>10</v>
      </c>
      <c r="H1645">
        <v>0</v>
      </c>
      <c r="I1645">
        <v>0</v>
      </c>
      <c r="J1645">
        <v>31.42756271</v>
      </c>
      <c r="K1645">
        <v>19.186332700000001</v>
      </c>
      <c r="L1645">
        <v>19.186332700000001</v>
      </c>
      <c r="M1645">
        <v>2.9541981220000002</v>
      </c>
      <c r="N1645">
        <v>1</v>
      </c>
      <c r="O1645">
        <v>2.9541981220000002</v>
      </c>
    </row>
    <row r="1646" spans="1:15">
      <c r="A1646">
        <v>1.3804504820000001</v>
      </c>
      <c r="B1646">
        <v>0.48542151100000003</v>
      </c>
      <c r="C1646">
        <v>0.69022524100000004</v>
      </c>
      <c r="D1646">
        <v>1.3160421309999999</v>
      </c>
      <c r="E1646">
        <v>3</v>
      </c>
      <c r="F1646">
        <v>33</v>
      </c>
      <c r="G1646">
        <v>10</v>
      </c>
      <c r="H1646">
        <v>0</v>
      </c>
      <c r="I1646">
        <v>1</v>
      </c>
      <c r="J1646">
        <v>41.49250412</v>
      </c>
      <c r="K1646">
        <v>25.88270378</v>
      </c>
      <c r="L1646">
        <v>25.88270378</v>
      </c>
      <c r="M1646">
        <v>3.253574848</v>
      </c>
      <c r="N1646">
        <v>1</v>
      </c>
      <c r="O1646">
        <v>3.253574848</v>
      </c>
    </row>
    <row r="1647" spans="1:15">
      <c r="A1647">
        <v>-1.1463794220000001</v>
      </c>
      <c r="B1647">
        <v>0.37834270199999998</v>
      </c>
      <c r="C1647">
        <v>-0.57318971100000005</v>
      </c>
      <c r="D1647">
        <v>-0.53760559600000002</v>
      </c>
      <c r="E1647">
        <v>4</v>
      </c>
      <c r="F1647">
        <v>29</v>
      </c>
      <c r="G1647">
        <v>10</v>
      </c>
      <c r="H1647">
        <v>1</v>
      </c>
      <c r="I1647">
        <v>1</v>
      </c>
      <c r="J1647">
        <v>22.648733140000001</v>
      </c>
      <c r="K1647">
        <v>9.9217233660000002</v>
      </c>
      <c r="N1647">
        <v>0</v>
      </c>
      <c r="O1647">
        <v>0</v>
      </c>
    </row>
    <row r="1648" spans="1:15">
      <c r="A1648">
        <v>1.1355986389999999</v>
      </c>
      <c r="B1648">
        <v>-0.29104789199999997</v>
      </c>
      <c r="C1648">
        <v>0.56779931900000002</v>
      </c>
      <c r="D1648">
        <v>0.59205153899999996</v>
      </c>
      <c r="E1648">
        <v>5</v>
      </c>
      <c r="F1648">
        <v>42</v>
      </c>
      <c r="G1648">
        <v>20</v>
      </c>
      <c r="H1648">
        <v>1</v>
      </c>
      <c r="I1648">
        <v>0</v>
      </c>
      <c r="J1648">
        <v>43.904617309999999</v>
      </c>
      <c r="K1648">
        <v>36.21359253</v>
      </c>
      <c r="L1648">
        <v>36.21359253</v>
      </c>
      <c r="M1648">
        <v>3.5894346239999999</v>
      </c>
      <c r="N1648">
        <v>1</v>
      </c>
      <c r="O1648">
        <v>3.5894346239999999</v>
      </c>
    </row>
    <row r="1649" spans="1:15">
      <c r="A1649">
        <v>-0.139137817</v>
      </c>
      <c r="B1649">
        <v>-1.5756039399999999</v>
      </c>
      <c r="C1649">
        <v>-6.9568907999999999E-2</v>
      </c>
      <c r="D1649">
        <v>-1.2174725260000001</v>
      </c>
      <c r="E1649">
        <v>6</v>
      </c>
      <c r="F1649">
        <v>45</v>
      </c>
      <c r="G1649">
        <v>12</v>
      </c>
      <c r="H1649">
        <v>1</v>
      </c>
      <c r="I1649">
        <v>1</v>
      </c>
      <c r="J1649">
        <v>22.390329359999999</v>
      </c>
      <c r="K1649">
        <v>21.16517258</v>
      </c>
      <c r="N1649">
        <v>0</v>
      </c>
      <c r="O1649">
        <v>0</v>
      </c>
    </row>
    <row r="1650" spans="1:15">
      <c r="A1650">
        <v>-0.36642366900000001</v>
      </c>
      <c r="B1650">
        <v>0.146403536</v>
      </c>
      <c r="C1650">
        <v>-0.18321183499999999</v>
      </c>
      <c r="D1650">
        <v>-0.15373817400000001</v>
      </c>
      <c r="E1650">
        <v>7</v>
      </c>
      <c r="F1650">
        <v>34</v>
      </c>
      <c r="G1650">
        <v>16</v>
      </c>
      <c r="H1650">
        <v>1</v>
      </c>
      <c r="I1650">
        <v>2</v>
      </c>
      <c r="J1650">
        <v>38.755142210000002</v>
      </c>
      <c r="K1650">
        <v>21.6014576</v>
      </c>
      <c r="L1650">
        <v>21.6014576</v>
      </c>
      <c r="M1650">
        <v>3.0727608200000001</v>
      </c>
      <c r="N1650">
        <v>1</v>
      </c>
      <c r="O1650">
        <v>3.0727608200000001</v>
      </c>
    </row>
    <row r="1651" spans="1:15">
      <c r="A1651">
        <v>-0.205347209</v>
      </c>
      <c r="B1651">
        <v>3.210072899</v>
      </c>
      <c r="C1651">
        <v>-0.102673604</v>
      </c>
      <c r="D1651">
        <v>2.1365571609999998</v>
      </c>
      <c r="E1651">
        <v>8</v>
      </c>
      <c r="F1651">
        <v>55</v>
      </c>
      <c r="G1651">
        <v>16</v>
      </c>
      <c r="H1651">
        <v>1</v>
      </c>
      <c r="I1651">
        <v>5</v>
      </c>
      <c r="J1651">
        <v>89.638687129999994</v>
      </c>
      <c r="K1651">
        <v>26.767917629999999</v>
      </c>
      <c r="L1651">
        <v>26.767917629999999</v>
      </c>
      <c r="M1651">
        <v>3.287204027</v>
      </c>
      <c r="N1651">
        <v>1</v>
      </c>
      <c r="O1651">
        <v>3.287204027</v>
      </c>
    </row>
    <row r="1652" spans="1:15">
      <c r="A1652">
        <v>-0.44482622700000002</v>
      </c>
      <c r="B1652">
        <v>-0.61571313400000005</v>
      </c>
      <c r="C1652">
        <v>-0.222413114</v>
      </c>
      <c r="D1652">
        <v>-0.75043722099999999</v>
      </c>
      <c r="E1652">
        <v>9</v>
      </c>
      <c r="F1652">
        <v>38</v>
      </c>
      <c r="G1652">
        <v>16</v>
      </c>
      <c r="H1652">
        <v>1</v>
      </c>
      <c r="I1652">
        <v>3</v>
      </c>
      <c r="J1652">
        <v>38.194751740000001</v>
      </c>
      <c r="K1652">
        <v>21.93104172</v>
      </c>
      <c r="L1652">
        <v>21.93104172</v>
      </c>
      <c r="M1652">
        <v>3.087903023</v>
      </c>
      <c r="N1652">
        <v>1</v>
      </c>
      <c r="O1652">
        <v>3.087903023</v>
      </c>
    </row>
    <row r="1653" spans="1:15">
      <c r="A1653">
        <v>-0.43636577399999998</v>
      </c>
      <c r="B1653">
        <v>1.118470801</v>
      </c>
      <c r="C1653">
        <v>-0.21818288699999999</v>
      </c>
      <c r="D1653">
        <v>0.48779092400000001</v>
      </c>
      <c r="E1653">
        <v>0</v>
      </c>
      <c r="F1653">
        <v>33</v>
      </c>
      <c r="G1653">
        <v>10</v>
      </c>
      <c r="H1653">
        <v>0</v>
      </c>
      <c r="I1653">
        <v>1</v>
      </c>
      <c r="J1653">
        <v>31.55349159</v>
      </c>
      <c r="K1653">
        <v>14.9818058</v>
      </c>
      <c r="L1653">
        <v>14.9818058</v>
      </c>
      <c r="M1653">
        <v>2.7068364620000001</v>
      </c>
      <c r="N1653">
        <v>1</v>
      </c>
      <c r="O1653">
        <v>2.7068364620000001</v>
      </c>
    </row>
    <row r="1654" spans="1:15">
      <c r="A1654">
        <v>-0.64955312799999998</v>
      </c>
      <c r="B1654">
        <v>0.548716863</v>
      </c>
      <c r="C1654">
        <v>-0.32477656399999999</v>
      </c>
      <c r="D1654">
        <v>-6.7036638999999995E-2</v>
      </c>
      <c r="E1654">
        <v>1</v>
      </c>
      <c r="F1654">
        <v>26</v>
      </c>
      <c r="G1654">
        <v>10</v>
      </c>
      <c r="H1654">
        <v>0</v>
      </c>
      <c r="I1654">
        <v>3</v>
      </c>
      <c r="J1654">
        <v>32.095561979999999</v>
      </c>
      <c r="K1654">
        <v>12.302680970000001</v>
      </c>
      <c r="L1654">
        <v>12.302680970000001</v>
      </c>
      <c r="M1654">
        <v>2.5098171229999999</v>
      </c>
      <c r="N1654">
        <v>1</v>
      </c>
      <c r="O1654">
        <v>2.5098171229999999</v>
      </c>
    </row>
    <row r="1655" spans="1:15">
      <c r="A1655">
        <v>4.6105378000000002E-2</v>
      </c>
      <c r="B1655">
        <v>-0.41362337599999999</v>
      </c>
      <c r="C1655">
        <v>2.3052689000000001E-2</v>
      </c>
      <c r="D1655">
        <v>-0.26147855800000003</v>
      </c>
      <c r="E1655">
        <v>2</v>
      </c>
      <c r="F1655">
        <v>32</v>
      </c>
      <c r="G1655">
        <v>16</v>
      </c>
      <c r="H1655">
        <v>1</v>
      </c>
      <c r="I1655">
        <v>0</v>
      </c>
      <c r="J1655">
        <v>26.66225815</v>
      </c>
      <c r="K1655">
        <v>23.676631929999999</v>
      </c>
      <c r="N1655">
        <v>0</v>
      </c>
      <c r="O1655">
        <v>0</v>
      </c>
    </row>
    <row r="1656" spans="1:15">
      <c r="A1656">
        <v>0.63454487500000001</v>
      </c>
      <c r="B1656">
        <v>0.83850031599999997</v>
      </c>
      <c r="C1656">
        <v>0.31727243799999999</v>
      </c>
      <c r="D1656">
        <v>1.0422075150000001</v>
      </c>
      <c r="E1656">
        <v>3</v>
      </c>
      <c r="F1656">
        <v>46</v>
      </c>
      <c r="G1656">
        <v>12</v>
      </c>
      <c r="H1656">
        <v>1</v>
      </c>
      <c r="I1656">
        <v>0</v>
      </c>
      <c r="J1656">
        <v>44.906490329999997</v>
      </c>
      <c r="K1656">
        <v>26.007268910000001</v>
      </c>
      <c r="L1656">
        <v>26.007268910000001</v>
      </c>
      <c r="M1656">
        <v>3.258376122</v>
      </c>
      <c r="N1656">
        <v>1</v>
      </c>
      <c r="O1656">
        <v>3.258376122</v>
      </c>
    </row>
    <row r="1657" spans="1:15">
      <c r="A1657">
        <v>0.37996998100000001</v>
      </c>
      <c r="B1657">
        <v>0.72173664299999996</v>
      </c>
      <c r="C1657">
        <v>0.18998498999999999</v>
      </c>
      <c r="D1657">
        <v>0.780150711</v>
      </c>
      <c r="E1657">
        <v>4</v>
      </c>
      <c r="F1657">
        <v>29</v>
      </c>
      <c r="G1657">
        <v>12</v>
      </c>
      <c r="H1657">
        <v>0</v>
      </c>
      <c r="I1657">
        <v>4</v>
      </c>
      <c r="J1657">
        <v>49.96180725</v>
      </c>
      <c r="K1657">
        <v>21.07982063</v>
      </c>
      <c r="L1657">
        <v>21.07982063</v>
      </c>
      <c r="M1657">
        <v>3.0483162400000001</v>
      </c>
      <c r="N1657">
        <v>1</v>
      </c>
      <c r="O1657">
        <v>3.0483162400000001</v>
      </c>
    </row>
    <row r="1658" spans="1:15">
      <c r="A1658">
        <v>-0.56910788599999995</v>
      </c>
      <c r="B1658">
        <v>0.461583721</v>
      </c>
      <c r="C1658">
        <v>-0.28455394299999998</v>
      </c>
      <c r="D1658">
        <v>-7.2360554999999993E-2</v>
      </c>
      <c r="E1658">
        <v>5</v>
      </c>
      <c r="F1658">
        <v>54</v>
      </c>
      <c r="G1658">
        <v>12</v>
      </c>
      <c r="H1658">
        <v>1</v>
      </c>
      <c r="I1658">
        <v>0</v>
      </c>
      <c r="J1658">
        <v>34.73167419</v>
      </c>
      <c r="K1658">
        <v>20.385353089999999</v>
      </c>
      <c r="L1658">
        <v>20.385353089999999</v>
      </c>
      <c r="M1658">
        <v>3.0148167610000001</v>
      </c>
      <c r="N1658">
        <v>1</v>
      </c>
      <c r="O1658">
        <v>3.0148167610000001</v>
      </c>
    </row>
    <row r="1659" spans="1:15">
      <c r="A1659">
        <v>-0.88151856100000003</v>
      </c>
      <c r="B1659">
        <v>0.26726736499999998</v>
      </c>
      <c r="C1659">
        <v>-0.44075927999999998</v>
      </c>
      <c r="D1659">
        <v>-0.43021072500000002</v>
      </c>
      <c r="E1659">
        <v>6</v>
      </c>
      <c r="F1659">
        <v>32</v>
      </c>
      <c r="G1659">
        <v>10</v>
      </c>
      <c r="H1659">
        <v>0</v>
      </c>
      <c r="I1659">
        <v>1</v>
      </c>
      <c r="J1659">
        <v>20.137472150000001</v>
      </c>
      <c r="K1659">
        <v>12.11088848</v>
      </c>
      <c r="N1659">
        <v>0</v>
      </c>
      <c r="O1659">
        <v>0</v>
      </c>
    </row>
    <row r="1660" spans="1:15">
      <c r="A1660">
        <v>-0.70285831200000004</v>
      </c>
      <c r="B1660">
        <v>1.3487727039999999</v>
      </c>
      <c r="C1660">
        <v>-0.35142915600000002</v>
      </c>
      <c r="D1660">
        <v>0.46396822500000001</v>
      </c>
      <c r="E1660">
        <v>7</v>
      </c>
      <c r="F1660">
        <v>36</v>
      </c>
      <c r="G1660">
        <v>12</v>
      </c>
      <c r="H1660">
        <v>1</v>
      </c>
      <c r="I1660">
        <v>3</v>
      </c>
      <c r="J1660">
        <v>48.96761703</v>
      </c>
      <c r="K1660">
        <v>15.98285007</v>
      </c>
      <c r="L1660">
        <v>15.98285007</v>
      </c>
      <c r="M1660">
        <v>2.7715163230000002</v>
      </c>
      <c r="N1660">
        <v>1</v>
      </c>
      <c r="O1660">
        <v>2.7715163230000002</v>
      </c>
    </row>
    <row r="1661" spans="1:15">
      <c r="A1661">
        <v>-9.7504800000000006E-3</v>
      </c>
      <c r="B1661">
        <v>0.37061260000000001</v>
      </c>
      <c r="C1661">
        <v>-4.8752400000000003E-3</v>
      </c>
      <c r="D1661">
        <v>0.25649069299999999</v>
      </c>
      <c r="E1661">
        <v>8</v>
      </c>
      <c r="F1661">
        <v>38</v>
      </c>
      <c r="G1661">
        <v>20</v>
      </c>
      <c r="H1661">
        <v>1</v>
      </c>
      <c r="I1661">
        <v>0</v>
      </c>
      <c r="J1661">
        <v>38.277889250000001</v>
      </c>
      <c r="K1661">
        <v>28.54149628</v>
      </c>
      <c r="L1661">
        <v>28.54149628</v>
      </c>
      <c r="M1661">
        <v>3.351359129</v>
      </c>
      <c r="N1661">
        <v>1</v>
      </c>
      <c r="O1661">
        <v>3.351359129</v>
      </c>
    </row>
    <row r="1662" spans="1:15">
      <c r="A1662">
        <v>-0.36693938300000001</v>
      </c>
      <c r="B1662">
        <v>1.859968396</v>
      </c>
      <c r="C1662">
        <v>-0.18346969099999999</v>
      </c>
      <c r="D1662">
        <v>1.063523966</v>
      </c>
      <c r="E1662">
        <v>9</v>
      </c>
      <c r="F1662">
        <v>45</v>
      </c>
      <c r="G1662">
        <v>16</v>
      </c>
      <c r="H1662">
        <v>1</v>
      </c>
      <c r="I1662">
        <v>1</v>
      </c>
      <c r="J1662">
        <v>52.762287139999998</v>
      </c>
      <c r="K1662">
        <v>23.798364639999999</v>
      </c>
      <c r="L1662">
        <v>23.798364639999999</v>
      </c>
      <c r="M1662">
        <v>3.1696169379999999</v>
      </c>
      <c r="N1662">
        <v>1</v>
      </c>
      <c r="O1662">
        <v>3.1696169379999999</v>
      </c>
    </row>
    <row r="1663" spans="1:15">
      <c r="A1663">
        <v>-0.39694865699999998</v>
      </c>
      <c r="B1663">
        <v>-0.84040777300000002</v>
      </c>
      <c r="C1663">
        <v>-0.198474329</v>
      </c>
      <c r="D1663">
        <v>-0.87642010400000003</v>
      </c>
      <c r="E1663">
        <v>0</v>
      </c>
      <c r="F1663">
        <v>24</v>
      </c>
      <c r="G1663">
        <v>10</v>
      </c>
      <c r="H1663">
        <v>0</v>
      </c>
      <c r="I1663">
        <v>3</v>
      </c>
      <c r="J1663">
        <v>21.582958219999998</v>
      </c>
      <c r="K1663">
        <v>13.41830826</v>
      </c>
      <c r="N1663">
        <v>0</v>
      </c>
      <c r="O1663">
        <v>0</v>
      </c>
    </row>
    <row r="1664" spans="1:15">
      <c r="A1664">
        <v>-0.77520213400000004</v>
      </c>
      <c r="B1664">
        <v>2.9297799999999999E-2</v>
      </c>
      <c r="C1664">
        <v>-0.38760106700000002</v>
      </c>
      <c r="D1664">
        <v>-0.52451627599999995</v>
      </c>
      <c r="E1664">
        <v>1</v>
      </c>
      <c r="F1664">
        <v>33</v>
      </c>
      <c r="G1664">
        <v>10</v>
      </c>
      <c r="H1664">
        <v>0</v>
      </c>
      <c r="I1664">
        <v>2</v>
      </c>
      <c r="J1664">
        <v>24.40580559</v>
      </c>
      <c r="K1664">
        <v>12.948786739999999</v>
      </c>
      <c r="N1664">
        <v>0</v>
      </c>
      <c r="O1664">
        <v>0</v>
      </c>
    </row>
    <row r="1665" spans="1:15">
      <c r="A1665">
        <v>-1.205817624</v>
      </c>
      <c r="B1665">
        <v>-1.241814784</v>
      </c>
      <c r="C1665">
        <v>-0.60290881200000002</v>
      </c>
      <c r="D1665">
        <v>-1.7306703569999999</v>
      </c>
      <c r="E1665">
        <v>2</v>
      </c>
      <c r="F1665">
        <v>44</v>
      </c>
      <c r="G1665">
        <v>10</v>
      </c>
      <c r="H1665">
        <v>1</v>
      </c>
      <c r="I1665">
        <v>0</v>
      </c>
      <c r="J1665">
        <v>9.3319559099999996</v>
      </c>
      <c r="K1665">
        <v>12.565093989999999</v>
      </c>
      <c r="N1665">
        <v>0</v>
      </c>
      <c r="O1665">
        <v>0</v>
      </c>
    </row>
    <row r="1666" spans="1:15">
      <c r="A1666">
        <v>-1.1608768279999999</v>
      </c>
      <c r="B1666">
        <v>-0.36811306399999999</v>
      </c>
      <c r="C1666">
        <v>-0.58043841399999996</v>
      </c>
      <c r="D1666">
        <v>-1.0782206910000001</v>
      </c>
      <c r="E1666">
        <v>3</v>
      </c>
      <c r="F1666">
        <v>44</v>
      </c>
      <c r="G1666">
        <v>10</v>
      </c>
      <c r="H1666">
        <v>1</v>
      </c>
      <c r="I1666">
        <v>0</v>
      </c>
      <c r="J1666">
        <v>17.16135216</v>
      </c>
      <c r="K1666">
        <v>12.83473873</v>
      </c>
      <c r="N1666">
        <v>0</v>
      </c>
      <c r="O1666">
        <v>0</v>
      </c>
    </row>
    <row r="1667" spans="1:15">
      <c r="A1667">
        <v>0.73694378400000005</v>
      </c>
      <c r="B1667">
        <v>-1.86750598</v>
      </c>
      <c r="C1667">
        <v>0.36847189200000002</v>
      </c>
      <c r="D1667">
        <v>-0.80859146900000001</v>
      </c>
      <c r="E1667">
        <v>4</v>
      </c>
      <c r="F1667">
        <v>34</v>
      </c>
      <c r="G1667">
        <v>10</v>
      </c>
      <c r="H1667">
        <v>1</v>
      </c>
      <c r="I1667">
        <v>0</v>
      </c>
      <c r="J1667">
        <v>16.39690208</v>
      </c>
      <c r="K1667">
        <v>22.221662519999999</v>
      </c>
      <c r="N1667">
        <v>0</v>
      </c>
      <c r="O1667">
        <v>0</v>
      </c>
    </row>
    <row r="1668" spans="1:15">
      <c r="A1668">
        <v>0.15653848300000001</v>
      </c>
      <c r="B1668">
        <v>-0.63895325000000003</v>
      </c>
      <c r="C1668">
        <v>7.8269241000000003E-2</v>
      </c>
      <c r="D1668">
        <v>-0.34390662</v>
      </c>
      <c r="E1668">
        <v>5</v>
      </c>
      <c r="F1668">
        <v>42</v>
      </c>
      <c r="G1668">
        <v>12</v>
      </c>
      <c r="H1668">
        <v>0</v>
      </c>
      <c r="I1668">
        <v>3</v>
      </c>
      <c r="J1668">
        <v>36.673122409999998</v>
      </c>
      <c r="K1668">
        <v>22.33923149</v>
      </c>
      <c r="L1668">
        <v>22.33923149</v>
      </c>
      <c r="M1668">
        <v>3.1063444609999999</v>
      </c>
      <c r="N1668">
        <v>1</v>
      </c>
      <c r="O1668">
        <v>3.1063444609999999</v>
      </c>
    </row>
    <row r="1669" spans="1:15">
      <c r="A1669">
        <v>0.70892343099999999</v>
      </c>
      <c r="B1669">
        <v>-1.0177664340000001</v>
      </c>
      <c r="C1669">
        <v>0.35446171599999998</v>
      </c>
      <c r="D1669">
        <v>-0.22449513099999999</v>
      </c>
      <c r="E1669">
        <v>6</v>
      </c>
      <c r="F1669">
        <v>32</v>
      </c>
      <c r="G1669">
        <v>10</v>
      </c>
      <c r="H1669">
        <v>1</v>
      </c>
      <c r="I1669">
        <v>5</v>
      </c>
      <c r="J1669">
        <v>47.606060030000002</v>
      </c>
      <c r="K1669">
        <v>21.65353966</v>
      </c>
      <c r="L1669">
        <v>21.65353966</v>
      </c>
      <c r="M1669">
        <v>3.0751688480000001</v>
      </c>
      <c r="N1669">
        <v>1</v>
      </c>
      <c r="O1669">
        <v>3.0751688480000001</v>
      </c>
    </row>
    <row r="1670" spans="1:15">
      <c r="A1670">
        <v>-1.508621905</v>
      </c>
      <c r="B1670">
        <v>0.18044749900000001</v>
      </c>
      <c r="C1670">
        <v>-0.75431095199999998</v>
      </c>
      <c r="D1670">
        <v>-0.93305421399999999</v>
      </c>
      <c r="E1670">
        <v>7</v>
      </c>
      <c r="F1670">
        <v>47</v>
      </c>
      <c r="G1670">
        <v>16</v>
      </c>
      <c r="H1670">
        <v>1</v>
      </c>
      <c r="I1670">
        <v>1</v>
      </c>
      <c r="J1670">
        <v>29.603349690000002</v>
      </c>
      <c r="K1670">
        <v>17.34826851</v>
      </c>
      <c r="L1670">
        <v>17.34826851</v>
      </c>
      <c r="M1670">
        <v>2.8534927369999998</v>
      </c>
      <c r="N1670">
        <v>1</v>
      </c>
      <c r="O1670">
        <v>2.8534927369999998</v>
      </c>
    </row>
    <row r="1671" spans="1:15">
      <c r="A1671">
        <v>0.70471811799999995</v>
      </c>
      <c r="B1671">
        <v>-2.0532626039999999</v>
      </c>
      <c r="C1671">
        <v>0.35235905899999997</v>
      </c>
      <c r="D1671">
        <v>-0.96325633799999999</v>
      </c>
      <c r="E1671">
        <v>8</v>
      </c>
      <c r="F1671">
        <v>43</v>
      </c>
      <c r="G1671">
        <v>16</v>
      </c>
      <c r="H1671">
        <v>1</v>
      </c>
      <c r="I1671">
        <v>1</v>
      </c>
      <c r="J1671">
        <v>27.64092445</v>
      </c>
      <c r="K1671">
        <v>29.828308109999998</v>
      </c>
      <c r="N1671">
        <v>0</v>
      </c>
      <c r="O1671">
        <v>0</v>
      </c>
    </row>
    <row r="1672" spans="1:15">
      <c r="A1672">
        <v>0.96800335000000004</v>
      </c>
      <c r="B1672">
        <v>0.90481915599999996</v>
      </c>
      <c r="C1672">
        <v>0.48400167500000002</v>
      </c>
      <c r="D1672">
        <v>1.3239117929999999</v>
      </c>
      <c r="E1672">
        <v>9</v>
      </c>
      <c r="F1672">
        <v>46</v>
      </c>
      <c r="G1672">
        <v>16</v>
      </c>
      <c r="H1672">
        <v>1</v>
      </c>
      <c r="I1672">
        <v>2</v>
      </c>
      <c r="J1672">
        <v>61.28694153</v>
      </c>
      <c r="K1672">
        <v>32.008018489999998</v>
      </c>
      <c r="L1672">
        <v>32.008018489999998</v>
      </c>
      <c r="M1672">
        <v>3.4659864900000001</v>
      </c>
      <c r="N1672">
        <v>1</v>
      </c>
      <c r="O1672">
        <v>3.4659864900000001</v>
      </c>
    </row>
    <row r="1673" spans="1:15">
      <c r="A1673">
        <v>-0.81694459699999999</v>
      </c>
      <c r="B1673">
        <v>0.161265143</v>
      </c>
      <c r="C1673">
        <v>-0.40847229899999998</v>
      </c>
      <c r="D1673">
        <v>-0.460107667</v>
      </c>
      <c r="E1673">
        <v>0</v>
      </c>
      <c r="F1673">
        <v>39</v>
      </c>
      <c r="G1673">
        <v>10</v>
      </c>
      <c r="H1673">
        <v>0</v>
      </c>
      <c r="I1673">
        <v>2</v>
      </c>
      <c r="J1673">
        <v>27.578708649999999</v>
      </c>
      <c r="K1673">
        <v>13.8983326</v>
      </c>
      <c r="N1673">
        <v>0</v>
      </c>
      <c r="O1673">
        <v>0</v>
      </c>
    </row>
    <row r="1674" spans="1:15">
      <c r="A1674">
        <v>0.464305517</v>
      </c>
      <c r="B1674">
        <v>0.45952156900000002</v>
      </c>
      <c r="C1674">
        <v>0.23215275899999999</v>
      </c>
      <c r="D1674">
        <v>0.65315379600000001</v>
      </c>
      <c r="E1674">
        <v>1</v>
      </c>
      <c r="F1674">
        <v>30</v>
      </c>
      <c r="G1674">
        <v>10</v>
      </c>
      <c r="H1674">
        <v>0</v>
      </c>
      <c r="I1674">
        <v>1</v>
      </c>
      <c r="J1674">
        <v>32.337844850000003</v>
      </c>
      <c r="K1674">
        <v>19.785833360000002</v>
      </c>
      <c r="L1674">
        <v>19.785833360000002</v>
      </c>
      <c r="M1674">
        <v>2.9849662779999999</v>
      </c>
      <c r="N1674">
        <v>1</v>
      </c>
      <c r="O1674">
        <v>2.9849662779999999</v>
      </c>
    </row>
    <row r="1675" spans="1:15">
      <c r="A1675">
        <v>2.963512465</v>
      </c>
      <c r="B1675">
        <v>3.3408386999999998E-2</v>
      </c>
      <c r="C1675">
        <v>1.481756232</v>
      </c>
      <c r="D1675">
        <v>2.108493916</v>
      </c>
      <c r="E1675">
        <v>2</v>
      </c>
      <c r="F1675">
        <v>24</v>
      </c>
      <c r="G1675">
        <v>10</v>
      </c>
      <c r="H1675">
        <v>0</v>
      </c>
      <c r="I1675">
        <v>1</v>
      </c>
      <c r="J1675">
        <v>47.401927950000001</v>
      </c>
      <c r="K1675">
        <v>33.581073760000002</v>
      </c>
      <c r="L1675">
        <v>33.581073760000002</v>
      </c>
      <c r="M1675">
        <v>3.5139627459999998</v>
      </c>
      <c r="N1675">
        <v>1</v>
      </c>
      <c r="O1675">
        <v>3.5139627459999998</v>
      </c>
    </row>
    <row r="1676" spans="1:15">
      <c r="A1676">
        <v>0.39874937999999999</v>
      </c>
      <c r="B1676">
        <v>1.2007492209999999</v>
      </c>
      <c r="C1676">
        <v>0.19937468999999999</v>
      </c>
      <c r="D1676">
        <v>1.1337382949999999</v>
      </c>
      <c r="E1676">
        <v>3</v>
      </c>
      <c r="F1676">
        <v>35</v>
      </c>
      <c r="G1676">
        <v>10</v>
      </c>
      <c r="H1676">
        <v>0</v>
      </c>
      <c r="I1676">
        <v>2</v>
      </c>
      <c r="J1676">
        <v>45.104858399999998</v>
      </c>
      <c r="K1676">
        <v>20.39249611</v>
      </c>
      <c r="L1676">
        <v>20.39249611</v>
      </c>
      <c r="M1676">
        <v>3.0151669980000002</v>
      </c>
      <c r="N1676">
        <v>1</v>
      </c>
      <c r="O1676">
        <v>3.0151669980000002</v>
      </c>
    </row>
    <row r="1677" spans="1:15">
      <c r="A1677">
        <v>1.4392730600000001</v>
      </c>
      <c r="B1677">
        <v>-0.12177985099999999</v>
      </c>
      <c r="C1677">
        <v>0.71963653000000005</v>
      </c>
      <c r="D1677">
        <v>0.92595714799999995</v>
      </c>
      <c r="E1677">
        <v>4</v>
      </c>
      <c r="F1677">
        <v>43</v>
      </c>
      <c r="G1677">
        <v>10</v>
      </c>
      <c r="H1677">
        <v>0</v>
      </c>
      <c r="I1677">
        <v>2</v>
      </c>
      <c r="J1677">
        <v>45.81148529</v>
      </c>
      <c r="K1677">
        <v>28.235637659999998</v>
      </c>
      <c r="L1677">
        <v>28.235637659999998</v>
      </c>
      <c r="M1677">
        <v>3.3405849929999998</v>
      </c>
      <c r="N1677">
        <v>1</v>
      </c>
      <c r="O1677">
        <v>3.3405849929999998</v>
      </c>
    </row>
    <row r="1678" spans="1:15">
      <c r="A1678">
        <v>0.18474175700000001</v>
      </c>
      <c r="B1678">
        <v>2.270959645</v>
      </c>
      <c r="C1678">
        <v>9.2370878000000003E-2</v>
      </c>
      <c r="D1678">
        <v>1.743659584</v>
      </c>
      <c r="E1678">
        <v>5</v>
      </c>
      <c r="F1678">
        <v>32</v>
      </c>
      <c r="G1678">
        <v>12</v>
      </c>
      <c r="H1678">
        <v>1</v>
      </c>
      <c r="I1678">
        <v>1</v>
      </c>
      <c r="J1678">
        <v>52.723915099999999</v>
      </c>
      <c r="K1678">
        <v>20.50845146</v>
      </c>
      <c r="L1678">
        <v>20.50845146</v>
      </c>
      <c r="M1678">
        <v>3.0208370690000002</v>
      </c>
      <c r="N1678">
        <v>1</v>
      </c>
      <c r="O1678">
        <v>3.0208370690000002</v>
      </c>
    </row>
    <row r="1679" spans="1:15">
      <c r="A1679">
        <v>0.59245542399999995</v>
      </c>
      <c r="B1679">
        <v>-0.70505764900000001</v>
      </c>
      <c r="C1679">
        <v>0.29622771199999998</v>
      </c>
      <c r="D1679">
        <v>-8.4222759999999994E-2</v>
      </c>
      <c r="E1679">
        <v>6</v>
      </c>
      <c r="F1679">
        <v>46</v>
      </c>
      <c r="G1679">
        <v>12</v>
      </c>
      <c r="H1679">
        <v>0</v>
      </c>
      <c r="I1679">
        <v>2</v>
      </c>
      <c r="J1679">
        <v>36.389327999999999</v>
      </c>
      <c r="K1679">
        <v>25.754732130000001</v>
      </c>
      <c r="L1679">
        <v>25.754732130000001</v>
      </c>
      <c r="M1679">
        <v>3.2486183639999999</v>
      </c>
      <c r="N1679">
        <v>1</v>
      </c>
      <c r="O1679">
        <v>3.2486183639999999</v>
      </c>
    </row>
    <row r="1680" spans="1:15">
      <c r="A1680">
        <v>0.70561512699999995</v>
      </c>
      <c r="B1680">
        <v>0.74721160799999997</v>
      </c>
      <c r="C1680">
        <v>0.35280756299999999</v>
      </c>
      <c r="D1680">
        <v>1.027335672</v>
      </c>
      <c r="E1680">
        <v>7</v>
      </c>
      <c r="F1680">
        <v>37</v>
      </c>
      <c r="G1680">
        <v>12</v>
      </c>
      <c r="H1680">
        <v>1</v>
      </c>
      <c r="I1680">
        <v>5</v>
      </c>
      <c r="J1680">
        <v>66.128028869999994</v>
      </c>
      <c r="K1680">
        <v>24.633689879999999</v>
      </c>
      <c r="L1680">
        <v>24.633689879999999</v>
      </c>
      <c r="M1680">
        <v>3.2041149139999998</v>
      </c>
      <c r="N1680">
        <v>1</v>
      </c>
      <c r="O1680">
        <v>3.2041149139999998</v>
      </c>
    </row>
    <row r="1681" spans="1:15">
      <c r="A1681">
        <v>0.34487472600000002</v>
      </c>
      <c r="B1681">
        <v>-1.7384595999999999E-2</v>
      </c>
      <c r="C1681">
        <v>0.17243736300000001</v>
      </c>
      <c r="D1681">
        <v>0.23025732800000001</v>
      </c>
      <c r="E1681">
        <v>8</v>
      </c>
      <c r="F1681">
        <v>41</v>
      </c>
      <c r="G1681">
        <v>16</v>
      </c>
      <c r="H1681">
        <v>1</v>
      </c>
      <c r="I1681">
        <v>1</v>
      </c>
      <c r="J1681">
        <v>41.163089749999997</v>
      </c>
      <c r="K1681">
        <v>27.269248959999999</v>
      </c>
      <c r="L1681">
        <v>27.269248959999999</v>
      </c>
      <c r="M1681">
        <v>3.3057596679999999</v>
      </c>
      <c r="N1681">
        <v>1</v>
      </c>
      <c r="O1681">
        <v>3.3057596679999999</v>
      </c>
    </row>
    <row r="1682" spans="1:15">
      <c r="A1682">
        <v>0.83430654400000004</v>
      </c>
      <c r="B1682">
        <v>-0.814816973</v>
      </c>
      <c r="C1682">
        <v>0.41715327200000002</v>
      </c>
      <c r="D1682">
        <v>7.9204840000000002E-3</v>
      </c>
      <c r="E1682">
        <v>9</v>
      </c>
      <c r="F1682">
        <v>43</v>
      </c>
      <c r="G1682">
        <v>20</v>
      </c>
      <c r="H1682">
        <v>1</v>
      </c>
      <c r="I1682">
        <v>0</v>
      </c>
      <c r="J1682">
        <v>37.29504395</v>
      </c>
      <c r="K1682">
        <v>34.605838779999999</v>
      </c>
      <c r="L1682">
        <v>34.605838779999999</v>
      </c>
      <c r="M1682">
        <v>3.544022322</v>
      </c>
      <c r="N1682">
        <v>1</v>
      </c>
      <c r="O1682">
        <v>3.544022322</v>
      </c>
    </row>
    <row r="1683" spans="1:15">
      <c r="A1683">
        <v>-0.72659499400000005</v>
      </c>
      <c r="B1683">
        <v>-0.47630012900000002</v>
      </c>
      <c r="C1683">
        <v>-0.36329749700000002</v>
      </c>
      <c r="D1683">
        <v>-0.849590187</v>
      </c>
      <c r="E1683">
        <v>0</v>
      </c>
      <c r="F1683">
        <v>33</v>
      </c>
      <c r="G1683">
        <v>10</v>
      </c>
      <c r="H1683">
        <v>0</v>
      </c>
      <c r="I1683">
        <v>2</v>
      </c>
      <c r="J1683">
        <v>20.50491714</v>
      </c>
      <c r="K1683">
        <v>13.240429880000001</v>
      </c>
      <c r="N1683">
        <v>0</v>
      </c>
      <c r="O1683">
        <v>0</v>
      </c>
    </row>
    <row r="1684" spans="1:15">
      <c r="A1684">
        <v>1.009218438</v>
      </c>
      <c r="B1684">
        <v>0.203715807</v>
      </c>
      <c r="C1684">
        <v>0.504609219</v>
      </c>
      <c r="D1684">
        <v>0.85471552100000003</v>
      </c>
      <c r="E1684">
        <v>1</v>
      </c>
      <c r="F1684">
        <v>43</v>
      </c>
      <c r="G1684">
        <v>16</v>
      </c>
      <c r="H1684">
        <v>0</v>
      </c>
      <c r="I1684">
        <v>3</v>
      </c>
      <c r="J1684">
        <v>54.456584929999998</v>
      </c>
      <c r="K1684">
        <v>31.655309679999998</v>
      </c>
      <c r="L1684">
        <v>31.655309679999998</v>
      </c>
      <c r="M1684">
        <v>3.4549059870000001</v>
      </c>
      <c r="N1684">
        <v>1</v>
      </c>
      <c r="O1684">
        <v>3.4549059870000001</v>
      </c>
    </row>
    <row r="1685" spans="1:15">
      <c r="A1685">
        <v>-0.45582311800000003</v>
      </c>
      <c r="B1685">
        <v>-0.68198274400000003</v>
      </c>
      <c r="C1685">
        <v>-0.22791155900000001</v>
      </c>
      <c r="D1685">
        <v>-0.80526310999999995</v>
      </c>
      <c r="E1685">
        <v>2</v>
      </c>
      <c r="F1685">
        <v>26</v>
      </c>
      <c r="G1685">
        <v>16</v>
      </c>
      <c r="H1685">
        <v>0</v>
      </c>
      <c r="I1685">
        <v>1</v>
      </c>
      <c r="J1685">
        <v>17.736843109999999</v>
      </c>
      <c r="K1685">
        <v>19.46506119</v>
      </c>
      <c r="N1685">
        <v>0</v>
      </c>
      <c r="O1685">
        <v>0</v>
      </c>
    </row>
    <row r="1686" spans="1:15">
      <c r="A1686">
        <v>-1.479051114</v>
      </c>
      <c r="B1686">
        <v>-9.8026312000000004E-2</v>
      </c>
      <c r="C1686">
        <v>-0.739525557</v>
      </c>
      <c r="D1686">
        <v>-1.1101298479999999</v>
      </c>
      <c r="E1686">
        <v>3</v>
      </c>
      <c r="F1686">
        <v>45</v>
      </c>
      <c r="G1686">
        <v>12</v>
      </c>
      <c r="H1686">
        <v>1</v>
      </c>
      <c r="I1686">
        <v>1</v>
      </c>
      <c r="J1686">
        <v>23.678442</v>
      </c>
      <c r="K1686">
        <v>13.12569332</v>
      </c>
      <c r="N1686">
        <v>0</v>
      </c>
      <c r="O1686">
        <v>0</v>
      </c>
    </row>
    <row r="1687" spans="1:15">
      <c r="A1687">
        <v>-0.20313534</v>
      </c>
      <c r="B1687">
        <v>-0.67108732100000001</v>
      </c>
      <c r="C1687">
        <v>-0.10156767</v>
      </c>
      <c r="D1687">
        <v>-0.61976170600000002</v>
      </c>
      <c r="E1687">
        <v>4</v>
      </c>
      <c r="F1687">
        <v>46</v>
      </c>
      <c r="G1687">
        <v>16</v>
      </c>
      <c r="H1687">
        <v>1</v>
      </c>
      <c r="I1687">
        <v>4</v>
      </c>
      <c r="J1687">
        <v>47.962860110000001</v>
      </c>
      <c r="K1687">
        <v>24.981187819999999</v>
      </c>
      <c r="L1687">
        <v>24.981187819999999</v>
      </c>
      <c r="M1687">
        <v>3.218122959</v>
      </c>
      <c r="N1687">
        <v>1</v>
      </c>
      <c r="O1687">
        <v>3.218122959</v>
      </c>
    </row>
    <row r="1688" spans="1:15">
      <c r="A1688">
        <v>-1.481758364</v>
      </c>
      <c r="B1688">
        <v>1.7199245540000001</v>
      </c>
      <c r="C1688">
        <v>-0.74087918200000002</v>
      </c>
      <c r="D1688">
        <v>0.17976521200000001</v>
      </c>
      <c r="E1688">
        <v>5</v>
      </c>
      <c r="F1688">
        <v>30</v>
      </c>
      <c r="G1688">
        <v>16</v>
      </c>
      <c r="H1688">
        <v>0</v>
      </c>
      <c r="I1688">
        <v>3</v>
      </c>
      <c r="J1688">
        <v>41.157180789999998</v>
      </c>
      <c r="K1688">
        <v>14.10944939</v>
      </c>
      <c r="L1688">
        <v>14.10944939</v>
      </c>
      <c r="M1688">
        <v>2.646844625</v>
      </c>
      <c r="N1688">
        <v>1</v>
      </c>
      <c r="O1688">
        <v>2.646844625</v>
      </c>
    </row>
    <row r="1689" spans="1:15">
      <c r="A1689">
        <v>-1.8597685690000001</v>
      </c>
      <c r="B1689">
        <v>0.54466774600000001</v>
      </c>
      <c r="C1689">
        <v>-0.92988428400000001</v>
      </c>
      <c r="D1689">
        <v>-0.92126920899999998</v>
      </c>
      <c r="E1689">
        <v>6</v>
      </c>
      <c r="F1689">
        <v>41</v>
      </c>
      <c r="G1689">
        <v>10</v>
      </c>
      <c r="H1689">
        <v>1</v>
      </c>
      <c r="I1689">
        <v>2</v>
      </c>
      <c r="J1689">
        <v>27.844770430000001</v>
      </c>
      <c r="K1689">
        <v>8.0413885119999993</v>
      </c>
      <c r="N1689">
        <v>0</v>
      </c>
      <c r="O1689">
        <v>0</v>
      </c>
    </row>
    <row r="1690" spans="1:15">
      <c r="A1690">
        <v>0.138927193</v>
      </c>
      <c r="B1690">
        <v>-0.20681412499999999</v>
      </c>
      <c r="C1690">
        <v>6.9463597000000002E-2</v>
      </c>
      <c r="D1690">
        <v>-4.9226285000000002E-2</v>
      </c>
      <c r="E1690">
        <v>7</v>
      </c>
      <c r="F1690">
        <v>40</v>
      </c>
      <c r="G1690">
        <v>16</v>
      </c>
      <c r="H1690">
        <v>1</v>
      </c>
      <c r="I1690">
        <v>1</v>
      </c>
      <c r="J1690">
        <v>37.409282679999997</v>
      </c>
      <c r="K1690">
        <v>25.83356285</v>
      </c>
      <c r="L1690">
        <v>25.83356285</v>
      </c>
      <c r="M1690">
        <v>3.251674414</v>
      </c>
      <c r="N1690">
        <v>1</v>
      </c>
      <c r="O1690">
        <v>3.251674414</v>
      </c>
    </row>
    <row r="1691" spans="1:15">
      <c r="A1691">
        <v>1.210011594</v>
      </c>
      <c r="B1691">
        <v>-0.62540839699999995</v>
      </c>
      <c r="C1691">
        <v>0.60500579700000001</v>
      </c>
      <c r="D1691">
        <v>0.40680924400000001</v>
      </c>
      <c r="E1691">
        <v>8</v>
      </c>
      <c r="F1691">
        <v>36</v>
      </c>
      <c r="G1691">
        <v>12</v>
      </c>
      <c r="H1691">
        <v>1</v>
      </c>
      <c r="I1691">
        <v>0</v>
      </c>
      <c r="J1691">
        <v>33.28171158</v>
      </c>
      <c r="K1691">
        <v>27.460069659999998</v>
      </c>
      <c r="L1691">
        <v>27.460069659999998</v>
      </c>
      <c r="M1691">
        <v>3.3127329350000001</v>
      </c>
      <c r="N1691">
        <v>1</v>
      </c>
      <c r="O1691">
        <v>3.3127329350000001</v>
      </c>
    </row>
    <row r="1692" spans="1:15">
      <c r="A1692">
        <v>-0.30133683900000002</v>
      </c>
      <c r="B1692">
        <v>-8.4301650000000006E-2</v>
      </c>
      <c r="C1692">
        <v>-0.150668419</v>
      </c>
      <c r="D1692">
        <v>-0.271885761</v>
      </c>
      <c r="E1692">
        <v>9</v>
      </c>
      <c r="F1692">
        <v>45</v>
      </c>
      <c r="G1692">
        <v>12</v>
      </c>
      <c r="H1692">
        <v>1</v>
      </c>
      <c r="I1692">
        <v>1</v>
      </c>
      <c r="J1692">
        <v>33.737369540000003</v>
      </c>
      <c r="K1692">
        <v>20.191978450000001</v>
      </c>
      <c r="L1692">
        <v>20.191978450000001</v>
      </c>
      <c r="M1692">
        <v>3.0052855009999999</v>
      </c>
      <c r="N1692">
        <v>1</v>
      </c>
      <c r="O1692">
        <v>3.0052855009999999</v>
      </c>
    </row>
    <row r="1693" spans="1:15">
      <c r="A1693">
        <v>-0.55245977199999996</v>
      </c>
      <c r="B1693">
        <v>-1.4769954569999999</v>
      </c>
      <c r="C1693">
        <v>-0.27622988599999998</v>
      </c>
      <c r="D1693">
        <v>-1.4381646450000001</v>
      </c>
      <c r="E1693">
        <v>0</v>
      </c>
      <c r="F1693">
        <v>22</v>
      </c>
      <c r="G1693">
        <v>10</v>
      </c>
      <c r="H1693">
        <v>0</v>
      </c>
      <c r="I1693">
        <v>0</v>
      </c>
      <c r="J1693">
        <v>-0.95797574500000005</v>
      </c>
      <c r="K1693">
        <v>12.08524132</v>
      </c>
      <c r="N1693">
        <v>0</v>
      </c>
      <c r="O1693">
        <v>0</v>
      </c>
    </row>
    <row r="1694" spans="1:15">
      <c r="A1694">
        <v>-9.7972475000000003E-2</v>
      </c>
      <c r="B1694">
        <v>0.20076957300000001</v>
      </c>
      <c r="C1694">
        <v>-4.8986237000000002E-2</v>
      </c>
      <c r="D1694">
        <v>7.3741736000000002E-2</v>
      </c>
      <c r="E1694">
        <v>1</v>
      </c>
      <c r="F1694">
        <v>36</v>
      </c>
      <c r="G1694">
        <v>10</v>
      </c>
      <c r="H1694">
        <v>0</v>
      </c>
      <c r="I1694">
        <v>3</v>
      </c>
      <c r="J1694">
        <v>37.784900669999999</v>
      </c>
      <c r="K1694">
        <v>17.612165449999999</v>
      </c>
      <c r="L1694">
        <v>17.612165449999999</v>
      </c>
      <c r="M1694">
        <v>2.8685898779999999</v>
      </c>
      <c r="N1694">
        <v>1</v>
      </c>
      <c r="O1694">
        <v>2.8685898779999999</v>
      </c>
    </row>
    <row r="1695" spans="1:15">
      <c r="A1695">
        <v>2.6023008330000001</v>
      </c>
      <c r="B1695">
        <v>-0.60152682899999999</v>
      </c>
      <c r="C1695">
        <v>1.301150416</v>
      </c>
      <c r="D1695">
        <v>1.4032185779999999</v>
      </c>
      <c r="E1695">
        <v>2</v>
      </c>
      <c r="F1695">
        <v>30</v>
      </c>
      <c r="G1695">
        <v>10</v>
      </c>
      <c r="H1695">
        <v>1</v>
      </c>
      <c r="I1695">
        <v>1</v>
      </c>
      <c r="J1695">
        <v>46.338623050000002</v>
      </c>
      <c r="K1695">
        <v>32.613803859999997</v>
      </c>
      <c r="L1695">
        <v>32.613803859999997</v>
      </c>
      <c r="M1695">
        <v>3.4847357269999999</v>
      </c>
      <c r="N1695">
        <v>1</v>
      </c>
      <c r="O1695">
        <v>3.4847357269999999</v>
      </c>
    </row>
    <row r="1696" spans="1:15">
      <c r="A1696">
        <v>0.48910079699999998</v>
      </c>
      <c r="B1696">
        <v>0.32026658400000002</v>
      </c>
      <c r="C1696">
        <v>0.244550398</v>
      </c>
      <c r="D1696">
        <v>0.57164482800000005</v>
      </c>
      <c r="E1696">
        <v>3</v>
      </c>
      <c r="F1696">
        <v>40</v>
      </c>
      <c r="G1696">
        <v>12</v>
      </c>
      <c r="H1696">
        <v>0</v>
      </c>
      <c r="I1696">
        <v>3</v>
      </c>
      <c r="J1696">
        <v>46.8597374</v>
      </c>
      <c r="K1696">
        <v>23.93460464</v>
      </c>
      <c r="L1696">
        <v>23.93460464</v>
      </c>
      <c r="M1696">
        <v>3.1753253940000001</v>
      </c>
      <c r="N1696">
        <v>1</v>
      </c>
      <c r="O1696">
        <v>3.1753253940000001</v>
      </c>
    </row>
    <row r="1697" spans="1:15">
      <c r="A1697">
        <v>-0.18951838100000001</v>
      </c>
      <c r="B1697">
        <v>-0.38807122199999999</v>
      </c>
      <c r="C1697">
        <v>-9.4759189999999993E-2</v>
      </c>
      <c r="D1697">
        <v>-0.40907694500000003</v>
      </c>
      <c r="E1697">
        <v>4</v>
      </c>
      <c r="F1697">
        <v>30</v>
      </c>
      <c r="G1697">
        <v>16</v>
      </c>
      <c r="H1697">
        <v>1</v>
      </c>
      <c r="I1697">
        <v>3</v>
      </c>
      <c r="J1697">
        <v>39.0910759</v>
      </c>
      <c r="K1697">
        <v>21.862890239999999</v>
      </c>
      <c r="L1697">
        <v>21.862890239999999</v>
      </c>
      <c r="M1697">
        <v>3.0847907069999998</v>
      </c>
      <c r="N1697">
        <v>1</v>
      </c>
      <c r="O1697">
        <v>3.0847907069999998</v>
      </c>
    </row>
    <row r="1698" spans="1:15">
      <c r="A1698">
        <v>0.55892686300000005</v>
      </c>
      <c r="B1698">
        <v>1.369814257</v>
      </c>
      <c r="C1698">
        <v>0.27946343200000001</v>
      </c>
      <c r="D1698">
        <v>1.3665532579999999</v>
      </c>
      <c r="E1698">
        <v>5</v>
      </c>
      <c r="F1698">
        <v>36</v>
      </c>
      <c r="G1698">
        <v>12</v>
      </c>
      <c r="H1698">
        <v>1</v>
      </c>
      <c r="I1698">
        <v>0</v>
      </c>
      <c r="J1698">
        <v>44.798637390000003</v>
      </c>
      <c r="K1698">
        <v>23.553560260000001</v>
      </c>
      <c r="L1698">
        <v>23.553560260000001</v>
      </c>
      <c r="M1698">
        <v>3.1592769619999999</v>
      </c>
      <c r="N1698">
        <v>1</v>
      </c>
      <c r="O1698">
        <v>3.1592769619999999</v>
      </c>
    </row>
    <row r="1699" spans="1:15">
      <c r="A1699">
        <v>0.17804452400000001</v>
      </c>
      <c r="B1699">
        <v>-0.40128521700000003</v>
      </c>
      <c r="C1699">
        <v>8.9022262000000005E-2</v>
      </c>
      <c r="D1699">
        <v>-0.15989552200000001</v>
      </c>
      <c r="E1699">
        <v>6</v>
      </c>
      <c r="F1699">
        <v>34</v>
      </c>
      <c r="G1699">
        <v>20</v>
      </c>
      <c r="H1699">
        <v>0</v>
      </c>
      <c r="I1699">
        <v>3</v>
      </c>
      <c r="J1699">
        <v>41.68125534</v>
      </c>
      <c r="K1699">
        <v>28.868267060000001</v>
      </c>
      <c r="L1699">
        <v>28.868267060000001</v>
      </c>
      <c r="M1699">
        <v>3.3627429009999998</v>
      </c>
      <c r="N1699">
        <v>1</v>
      </c>
      <c r="O1699">
        <v>3.3627429009999998</v>
      </c>
    </row>
    <row r="1700" spans="1:15">
      <c r="A1700">
        <v>1.4505778279999999</v>
      </c>
      <c r="B1700">
        <v>0.41240324299999997</v>
      </c>
      <c r="C1700">
        <v>0.72528891399999995</v>
      </c>
      <c r="D1700">
        <v>1.313489589</v>
      </c>
      <c r="E1700">
        <v>7</v>
      </c>
      <c r="F1700">
        <v>37</v>
      </c>
      <c r="G1700">
        <v>16</v>
      </c>
      <c r="H1700">
        <v>1</v>
      </c>
      <c r="I1700">
        <v>3</v>
      </c>
      <c r="J1700">
        <v>62.56187439</v>
      </c>
      <c r="K1700">
        <v>33.10346603</v>
      </c>
      <c r="L1700">
        <v>33.10346603</v>
      </c>
      <c r="M1700">
        <v>3.4996380810000001</v>
      </c>
      <c r="N1700">
        <v>1</v>
      </c>
      <c r="O1700">
        <v>3.4996380810000001</v>
      </c>
    </row>
    <row r="1701" spans="1:15">
      <c r="A1701">
        <v>0.392474869</v>
      </c>
      <c r="B1701">
        <v>-1.3379032399999999</v>
      </c>
      <c r="C1701">
        <v>0.19623743399999999</v>
      </c>
      <c r="D1701">
        <v>-0.67459134799999998</v>
      </c>
      <c r="E1701">
        <v>8</v>
      </c>
      <c r="F1701">
        <v>48</v>
      </c>
      <c r="G1701">
        <v>20</v>
      </c>
      <c r="H1701">
        <v>1</v>
      </c>
      <c r="I1701">
        <v>3</v>
      </c>
      <c r="J1701">
        <v>46.104904169999998</v>
      </c>
      <c r="K1701">
        <v>32.954849240000001</v>
      </c>
      <c r="L1701">
        <v>32.954849240000001</v>
      </c>
      <c r="M1701">
        <v>3.4951384069999998</v>
      </c>
      <c r="N1701">
        <v>1</v>
      </c>
      <c r="O1701">
        <v>3.4951384069999998</v>
      </c>
    </row>
    <row r="1702" spans="1:15">
      <c r="A1702">
        <v>2.1059799190000001</v>
      </c>
      <c r="B1702">
        <v>0.110780608</v>
      </c>
      <c r="C1702">
        <v>1.052989959</v>
      </c>
      <c r="D1702">
        <v>1.5602210409999999</v>
      </c>
      <c r="E1702">
        <v>9</v>
      </c>
      <c r="F1702">
        <v>40</v>
      </c>
      <c r="G1702">
        <v>16</v>
      </c>
      <c r="H1702">
        <v>1</v>
      </c>
      <c r="I1702">
        <v>3</v>
      </c>
      <c r="J1702">
        <v>66.72265625</v>
      </c>
      <c r="K1702">
        <v>37.635879520000003</v>
      </c>
      <c r="L1702">
        <v>37.635879520000003</v>
      </c>
      <c r="M1702">
        <v>3.6279578209999999</v>
      </c>
      <c r="N1702">
        <v>1</v>
      </c>
      <c r="O1702">
        <v>3.6279578209999999</v>
      </c>
    </row>
    <row r="1703" spans="1:15">
      <c r="A1703">
        <v>2.1007399999999999E-2</v>
      </c>
      <c r="B1703">
        <v>-1.139640516</v>
      </c>
      <c r="C1703">
        <v>1.0503699999999999E-2</v>
      </c>
      <c r="D1703">
        <v>-0.79502760299999997</v>
      </c>
      <c r="E1703">
        <v>0</v>
      </c>
      <c r="F1703">
        <v>33</v>
      </c>
      <c r="G1703">
        <v>12</v>
      </c>
      <c r="H1703">
        <v>0</v>
      </c>
      <c r="I1703">
        <v>2</v>
      </c>
      <c r="J1703">
        <v>22.659667970000001</v>
      </c>
      <c r="K1703">
        <v>19.726043700000002</v>
      </c>
      <c r="N1703">
        <v>0</v>
      </c>
      <c r="O1703">
        <v>0</v>
      </c>
    </row>
    <row r="1704" spans="1:15">
      <c r="A1704">
        <v>-0.28699140000000001</v>
      </c>
      <c r="B1704">
        <v>-2.012784001</v>
      </c>
      <c r="C1704">
        <v>-0.1434957</v>
      </c>
      <c r="D1704">
        <v>-1.6321351200000001</v>
      </c>
      <c r="E1704">
        <v>1</v>
      </c>
      <c r="F1704">
        <v>50</v>
      </c>
      <c r="G1704">
        <v>10</v>
      </c>
      <c r="H1704">
        <v>0</v>
      </c>
      <c r="I1704">
        <v>2</v>
      </c>
      <c r="J1704">
        <v>17.91437912</v>
      </c>
      <c r="K1704">
        <v>19.278051380000001</v>
      </c>
      <c r="N1704">
        <v>0</v>
      </c>
      <c r="O1704">
        <v>0</v>
      </c>
    </row>
    <row r="1705" spans="1:15">
      <c r="A1705">
        <v>-2.1772299770000001</v>
      </c>
      <c r="B1705">
        <v>-3.4101113010000002</v>
      </c>
      <c r="C1705">
        <v>-1.0886149890000001</v>
      </c>
      <c r="D1705">
        <v>-3.9547820489999999</v>
      </c>
      <c r="E1705">
        <v>2</v>
      </c>
      <c r="F1705">
        <v>31</v>
      </c>
      <c r="G1705">
        <v>16</v>
      </c>
      <c r="H1705">
        <v>1</v>
      </c>
      <c r="I1705">
        <v>2</v>
      </c>
      <c r="J1705">
        <v>-8.0573844910000005</v>
      </c>
      <c r="K1705">
        <v>10.136620519999999</v>
      </c>
      <c r="N1705">
        <v>0</v>
      </c>
      <c r="O1705">
        <v>0</v>
      </c>
    </row>
    <row r="1706" spans="1:15">
      <c r="A1706">
        <v>-1.7118717429999999</v>
      </c>
      <c r="B1706">
        <v>0.191245995</v>
      </c>
      <c r="C1706">
        <v>-0.85593587199999999</v>
      </c>
      <c r="D1706">
        <v>-1.0683620380000001</v>
      </c>
      <c r="E1706">
        <v>3</v>
      </c>
      <c r="F1706">
        <v>36</v>
      </c>
      <c r="G1706">
        <v>10</v>
      </c>
      <c r="H1706">
        <v>1</v>
      </c>
      <c r="I1706">
        <v>0</v>
      </c>
      <c r="J1706">
        <v>14.079655649999999</v>
      </c>
      <c r="K1706">
        <v>7.9287695879999998</v>
      </c>
      <c r="N1706">
        <v>0</v>
      </c>
      <c r="O1706">
        <v>0</v>
      </c>
    </row>
    <row r="1707" spans="1:15">
      <c r="A1707">
        <v>-1.5771125370000001</v>
      </c>
      <c r="B1707">
        <v>2.2056394999999999E-2</v>
      </c>
      <c r="C1707">
        <v>-0.78855626899999998</v>
      </c>
      <c r="D1707">
        <v>-1.0937851599999999</v>
      </c>
      <c r="E1707">
        <v>4</v>
      </c>
      <c r="F1707">
        <v>40</v>
      </c>
      <c r="G1707">
        <v>10</v>
      </c>
      <c r="H1707">
        <v>1</v>
      </c>
      <c r="I1707">
        <v>3</v>
      </c>
      <c r="J1707">
        <v>30.37457848</v>
      </c>
      <c r="K1707">
        <v>9.5373249050000002</v>
      </c>
      <c r="L1707">
        <v>9.5373249050000002</v>
      </c>
      <c r="M1707">
        <v>2.255213022</v>
      </c>
      <c r="N1707">
        <v>1</v>
      </c>
      <c r="O1707">
        <v>2.255213022</v>
      </c>
    </row>
    <row r="1708" spans="1:15">
      <c r="A1708">
        <v>1.151143386</v>
      </c>
      <c r="B1708">
        <v>0.27775518300000002</v>
      </c>
      <c r="C1708">
        <v>0.575571693</v>
      </c>
      <c r="D1708">
        <v>1.0071669620000001</v>
      </c>
      <c r="E1708">
        <v>5</v>
      </c>
      <c r="F1708">
        <v>35</v>
      </c>
      <c r="G1708">
        <v>16</v>
      </c>
      <c r="H1708">
        <v>0</v>
      </c>
      <c r="I1708">
        <v>2</v>
      </c>
      <c r="J1708">
        <v>48.086002350000001</v>
      </c>
      <c r="K1708">
        <v>30.906860349999999</v>
      </c>
      <c r="L1708">
        <v>30.906860349999999</v>
      </c>
      <c r="M1708">
        <v>3.4309780600000002</v>
      </c>
      <c r="N1708">
        <v>1</v>
      </c>
      <c r="O1708">
        <v>3.4309780600000002</v>
      </c>
    </row>
    <row r="1709" spans="1:15">
      <c r="A1709">
        <v>2.3445947669999998</v>
      </c>
      <c r="B1709">
        <v>0.56201291099999995</v>
      </c>
      <c r="C1709">
        <v>1.1722973830000001</v>
      </c>
      <c r="D1709">
        <v>2.0487170859999999</v>
      </c>
      <c r="E1709">
        <v>6</v>
      </c>
      <c r="F1709">
        <v>44</v>
      </c>
      <c r="G1709">
        <v>10</v>
      </c>
      <c r="H1709">
        <v>1</v>
      </c>
      <c r="I1709">
        <v>2</v>
      </c>
      <c r="J1709">
        <v>64.684608460000007</v>
      </c>
      <c r="K1709">
        <v>33.867568970000001</v>
      </c>
      <c r="L1709">
        <v>33.867568970000001</v>
      </c>
      <c r="M1709">
        <v>3.5224578379999998</v>
      </c>
      <c r="N1709">
        <v>1</v>
      </c>
      <c r="O1709">
        <v>3.5224578379999998</v>
      </c>
    </row>
    <row r="1710" spans="1:15">
      <c r="A1710">
        <v>0.31569375700000002</v>
      </c>
      <c r="B1710">
        <v>1.4425557330000001</v>
      </c>
      <c r="C1710">
        <v>0.157846878</v>
      </c>
      <c r="D1710">
        <v>1.2471336799999999</v>
      </c>
      <c r="E1710">
        <v>7</v>
      </c>
      <c r="F1710">
        <v>35</v>
      </c>
      <c r="G1710">
        <v>12</v>
      </c>
      <c r="H1710">
        <v>1</v>
      </c>
      <c r="I1710">
        <v>0</v>
      </c>
      <c r="J1710">
        <v>42.965602869999998</v>
      </c>
      <c r="K1710">
        <v>21.894163129999999</v>
      </c>
      <c r="L1710">
        <v>21.894163129999999</v>
      </c>
      <c r="M1710">
        <v>3.0862200259999999</v>
      </c>
      <c r="N1710">
        <v>1</v>
      </c>
      <c r="O1710">
        <v>3.0862200259999999</v>
      </c>
    </row>
    <row r="1711" spans="1:15">
      <c r="A1711">
        <v>-0.81535460199999998</v>
      </c>
      <c r="B1711">
        <v>-0.858215756</v>
      </c>
      <c r="C1711">
        <v>-0.40767730099999999</v>
      </c>
      <c r="D1711">
        <v>-1.1834118920000001</v>
      </c>
      <c r="E1711">
        <v>8</v>
      </c>
      <c r="F1711">
        <v>38</v>
      </c>
      <c r="G1711">
        <v>20</v>
      </c>
      <c r="H1711">
        <v>1</v>
      </c>
      <c r="I1711">
        <v>0</v>
      </c>
      <c r="J1711">
        <v>20.99905777</v>
      </c>
      <c r="K1711">
        <v>23.707872389999999</v>
      </c>
      <c r="N1711">
        <v>0</v>
      </c>
      <c r="O1711">
        <v>0</v>
      </c>
    </row>
    <row r="1712" spans="1:15">
      <c r="A1712">
        <v>0.78004460200000003</v>
      </c>
      <c r="B1712">
        <v>-0.92451248100000005</v>
      </c>
      <c r="C1712">
        <v>0.39002230100000002</v>
      </c>
      <c r="D1712">
        <v>-0.108198827</v>
      </c>
      <c r="E1712">
        <v>9</v>
      </c>
      <c r="F1712">
        <v>45</v>
      </c>
      <c r="G1712">
        <v>16</v>
      </c>
      <c r="H1712">
        <v>1</v>
      </c>
      <c r="I1712">
        <v>1</v>
      </c>
      <c r="J1712">
        <v>38.701614380000002</v>
      </c>
      <c r="K1712">
        <v>30.68026733</v>
      </c>
      <c r="L1712">
        <v>30.68026733</v>
      </c>
      <c r="M1712">
        <v>3.423619747</v>
      </c>
      <c r="N1712">
        <v>1</v>
      </c>
      <c r="O1712">
        <v>3.423619747</v>
      </c>
    </row>
    <row r="1713" spans="1:15">
      <c r="A1713">
        <v>-0.82743761400000004</v>
      </c>
      <c r="B1713">
        <v>0.79738624400000002</v>
      </c>
      <c r="C1713">
        <v>-0.41371880700000002</v>
      </c>
      <c r="D1713">
        <v>-1.5474297E-2</v>
      </c>
      <c r="E1713">
        <v>0</v>
      </c>
      <c r="F1713">
        <v>40</v>
      </c>
      <c r="G1713">
        <v>16</v>
      </c>
      <c r="H1713">
        <v>0</v>
      </c>
      <c r="I1713">
        <v>1</v>
      </c>
      <c r="J1713">
        <v>32.814308169999997</v>
      </c>
      <c r="K1713">
        <v>20.03537369</v>
      </c>
      <c r="L1713">
        <v>20.03537369</v>
      </c>
      <c r="M1713">
        <v>2.9974994659999998</v>
      </c>
      <c r="N1713">
        <v>1</v>
      </c>
      <c r="O1713">
        <v>2.9974994659999998</v>
      </c>
    </row>
    <row r="1714" spans="1:15">
      <c r="A1714">
        <v>-1.406544958</v>
      </c>
      <c r="B1714">
        <v>-0.49065188500000001</v>
      </c>
      <c r="C1714">
        <v>-0.70327247900000001</v>
      </c>
      <c r="D1714">
        <v>-1.338115521</v>
      </c>
      <c r="E1714">
        <v>1</v>
      </c>
      <c r="F1714">
        <v>36</v>
      </c>
      <c r="G1714">
        <v>10</v>
      </c>
      <c r="H1714">
        <v>0</v>
      </c>
      <c r="I1714">
        <v>3</v>
      </c>
      <c r="J1714">
        <v>20.84261322</v>
      </c>
      <c r="K1714">
        <v>9.7607297899999992</v>
      </c>
      <c r="N1714">
        <v>0</v>
      </c>
      <c r="O1714">
        <v>0</v>
      </c>
    </row>
    <row r="1715" spans="1:15">
      <c r="A1715">
        <v>-1.1378511229999999</v>
      </c>
      <c r="B1715">
        <v>0.53940666100000001</v>
      </c>
      <c r="C1715">
        <v>-0.56892556100000002</v>
      </c>
      <c r="D1715">
        <v>-0.41715732700000002</v>
      </c>
      <c r="E1715">
        <v>2</v>
      </c>
      <c r="F1715">
        <v>40</v>
      </c>
      <c r="G1715">
        <v>10</v>
      </c>
      <c r="H1715">
        <v>1</v>
      </c>
      <c r="I1715">
        <v>0</v>
      </c>
      <c r="J1715">
        <v>23.494112009999998</v>
      </c>
      <c r="K1715">
        <v>12.172893520000001</v>
      </c>
      <c r="N1715">
        <v>0</v>
      </c>
      <c r="O1715">
        <v>0</v>
      </c>
    </row>
    <row r="1716" spans="1:15">
      <c r="A1716">
        <v>0.31318824699999998</v>
      </c>
      <c r="B1716">
        <v>0.29667142299999999</v>
      </c>
      <c r="C1716">
        <v>0.156594124</v>
      </c>
      <c r="D1716">
        <v>0.43112863699999998</v>
      </c>
      <c r="E1716">
        <v>3</v>
      </c>
      <c r="F1716">
        <v>40</v>
      </c>
      <c r="G1716">
        <v>16</v>
      </c>
      <c r="H1716">
        <v>1</v>
      </c>
      <c r="I1716">
        <v>0</v>
      </c>
      <c r="J1716">
        <v>38.173542019999999</v>
      </c>
      <c r="K1716">
        <v>26.879129410000001</v>
      </c>
      <c r="L1716">
        <v>26.879129410000001</v>
      </c>
      <c r="M1716">
        <v>3.2913501260000002</v>
      </c>
      <c r="N1716">
        <v>1</v>
      </c>
      <c r="O1716">
        <v>3.2913501260000002</v>
      </c>
    </row>
    <row r="1717" spans="1:15">
      <c r="A1717">
        <v>-0.28133026999999999</v>
      </c>
      <c r="B1717">
        <v>0.46474968700000002</v>
      </c>
      <c r="C1717">
        <v>-0.140665135</v>
      </c>
      <c r="D1717">
        <v>0.13233324699999999</v>
      </c>
      <c r="E1717">
        <v>4</v>
      </c>
      <c r="F1717">
        <v>28</v>
      </c>
      <c r="G1717">
        <v>12</v>
      </c>
      <c r="H1717">
        <v>1</v>
      </c>
      <c r="I1717">
        <v>0</v>
      </c>
      <c r="J1717">
        <v>26.787998200000001</v>
      </c>
      <c r="K1717">
        <v>16.912017819999999</v>
      </c>
      <c r="N1717">
        <v>0</v>
      </c>
      <c r="O1717">
        <v>0</v>
      </c>
    </row>
    <row r="1718" spans="1:15">
      <c r="A1718">
        <v>0.50753708900000005</v>
      </c>
      <c r="B1718">
        <v>9.2672166E-2</v>
      </c>
      <c r="C1718">
        <v>0.25376854399999998</v>
      </c>
      <c r="D1718">
        <v>0.42289023999999997</v>
      </c>
      <c r="E1718">
        <v>5</v>
      </c>
      <c r="F1718">
        <v>31</v>
      </c>
      <c r="G1718">
        <v>20</v>
      </c>
      <c r="H1718">
        <v>1</v>
      </c>
      <c r="I1718">
        <v>1</v>
      </c>
      <c r="J1718">
        <v>42.474681850000003</v>
      </c>
      <c r="K1718">
        <v>30.245222089999999</v>
      </c>
      <c r="L1718">
        <v>30.245222089999999</v>
      </c>
      <c r="M1718">
        <v>3.409338236</v>
      </c>
      <c r="N1718">
        <v>1</v>
      </c>
      <c r="O1718">
        <v>3.409338236</v>
      </c>
    </row>
    <row r="1719" spans="1:15">
      <c r="A1719">
        <v>-1.1421103889999999</v>
      </c>
      <c r="B1719">
        <v>-0.97624892600000002</v>
      </c>
      <c r="C1719">
        <v>-0.57105519400000004</v>
      </c>
      <c r="D1719">
        <v>-1.4971481710000001</v>
      </c>
      <c r="E1719">
        <v>6</v>
      </c>
      <c r="F1719">
        <v>50</v>
      </c>
      <c r="G1719">
        <v>16</v>
      </c>
      <c r="H1719">
        <v>1</v>
      </c>
      <c r="I1719">
        <v>1</v>
      </c>
      <c r="J1719">
        <v>24.034221649999999</v>
      </c>
      <c r="K1719">
        <v>20.147336960000001</v>
      </c>
      <c r="N1719">
        <v>0</v>
      </c>
      <c r="O1719">
        <v>0</v>
      </c>
    </row>
    <row r="1720" spans="1:15">
      <c r="A1720">
        <v>2.5201321179999998</v>
      </c>
      <c r="B1720">
        <v>-1.717672267</v>
      </c>
      <c r="C1720">
        <v>1.2600660589999999</v>
      </c>
      <c r="D1720">
        <v>0.55230437300000002</v>
      </c>
      <c r="E1720">
        <v>7</v>
      </c>
      <c r="F1720">
        <v>36</v>
      </c>
      <c r="G1720">
        <v>12</v>
      </c>
      <c r="H1720">
        <v>1</v>
      </c>
      <c r="I1720">
        <v>1</v>
      </c>
      <c r="J1720">
        <v>40.027652740000001</v>
      </c>
      <c r="K1720">
        <v>35.32079315</v>
      </c>
      <c r="L1720">
        <v>35.32079315</v>
      </c>
      <c r="M1720">
        <v>3.564471722</v>
      </c>
      <c r="N1720">
        <v>1</v>
      </c>
      <c r="O1720">
        <v>3.564471722</v>
      </c>
    </row>
    <row r="1721" spans="1:15">
      <c r="A1721">
        <v>-0.82581885200000005</v>
      </c>
      <c r="B1721">
        <v>-0.446053643</v>
      </c>
      <c r="C1721">
        <v>-0.41290942600000002</v>
      </c>
      <c r="D1721">
        <v>-0.89789906399999997</v>
      </c>
      <c r="E1721">
        <v>8</v>
      </c>
      <c r="F1721">
        <v>36</v>
      </c>
      <c r="G1721">
        <v>12</v>
      </c>
      <c r="H1721">
        <v>1</v>
      </c>
      <c r="I1721">
        <v>0</v>
      </c>
      <c r="J1721">
        <v>17.625211719999999</v>
      </c>
      <c r="K1721">
        <v>15.245086669999999</v>
      </c>
      <c r="N1721">
        <v>0</v>
      </c>
      <c r="O1721">
        <v>0</v>
      </c>
    </row>
    <row r="1722" spans="1:15">
      <c r="A1722">
        <v>-0.173586096</v>
      </c>
      <c r="B1722">
        <v>-1.6231924280000001</v>
      </c>
      <c r="C1722">
        <v>-8.6793047999999998E-2</v>
      </c>
      <c r="D1722">
        <v>-1.27552143</v>
      </c>
      <c r="E1722">
        <v>9</v>
      </c>
      <c r="F1722">
        <v>40</v>
      </c>
      <c r="G1722">
        <v>12</v>
      </c>
      <c r="H1722">
        <v>1</v>
      </c>
      <c r="I1722">
        <v>1</v>
      </c>
      <c r="J1722">
        <v>19.693742749999998</v>
      </c>
      <c r="K1722">
        <v>19.958482740000001</v>
      </c>
      <c r="N1722">
        <v>0</v>
      </c>
      <c r="O1722">
        <v>0</v>
      </c>
    </row>
    <row r="1723" spans="1:15">
      <c r="A1723">
        <v>0.67074973199999999</v>
      </c>
      <c r="B1723">
        <v>-1.219986579</v>
      </c>
      <c r="C1723">
        <v>0.33537486599999999</v>
      </c>
      <c r="D1723">
        <v>-0.39504293600000001</v>
      </c>
      <c r="E1723">
        <v>0</v>
      </c>
      <c r="F1723">
        <v>28</v>
      </c>
      <c r="G1723">
        <v>10</v>
      </c>
      <c r="H1723">
        <v>0</v>
      </c>
      <c r="I1723">
        <v>3</v>
      </c>
      <c r="J1723">
        <v>28.959484100000001</v>
      </c>
      <c r="K1723">
        <v>20.624498370000001</v>
      </c>
      <c r="N1723">
        <v>0</v>
      </c>
      <c r="O1723">
        <v>0</v>
      </c>
    </row>
    <row r="1724" spans="1:15">
      <c r="A1724">
        <v>-0.72625360500000002</v>
      </c>
      <c r="B1724">
        <v>-0.68484983399999999</v>
      </c>
      <c r="C1724">
        <v>-0.36312680200000003</v>
      </c>
      <c r="D1724">
        <v>-0.99754127999999997</v>
      </c>
      <c r="E1724">
        <v>1</v>
      </c>
      <c r="F1724">
        <v>28</v>
      </c>
      <c r="G1724">
        <v>10</v>
      </c>
      <c r="H1724">
        <v>0</v>
      </c>
      <c r="I1724">
        <v>3</v>
      </c>
      <c r="J1724">
        <v>21.729505540000002</v>
      </c>
      <c r="K1724">
        <v>12.242478370000001</v>
      </c>
      <c r="N1724">
        <v>0</v>
      </c>
      <c r="O1724">
        <v>0</v>
      </c>
    </row>
    <row r="1725" spans="1:15">
      <c r="A1725">
        <v>5.7921728999999998E-2</v>
      </c>
      <c r="B1725">
        <v>0.217134467</v>
      </c>
      <c r="C1725">
        <v>2.8960863999999999E-2</v>
      </c>
      <c r="D1725">
        <v>0.19503785400000001</v>
      </c>
      <c r="E1725">
        <v>2</v>
      </c>
      <c r="F1725">
        <v>25</v>
      </c>
      <c r="G1725">
        <v>10</v>
      </c>
      <c r="H1725">
        <v>0</v>
      </c>
      <c r="I1725">
        <v>1</v>
      </c>
      <c r="J1725">
        <v>24.840454099999999</v>
      </c>
      <c r="K1725">
        <v>16.34753036</v>
      </c>
      <c r="N1725">
        <v>0</v>
      </c>
      <c r="O1725">
        <v>0</v>
      </c>
    </row>
    <row r="1726" spans="1:15">
      <c r="A1726">
        <v>0.29230910700000001</v>
      </c>
      <c r="B1726">
        <v>0.17892580299999999</v>
      </c>
      <c r="C1726">
        <v>0.14615455399999999</v>
      </c>
      <c r="D1726">
        <v>0.33277301599999998</v>
      </c>
      <c r="E1726">
        <v>3</v>
      </c>
      <c r="F1726">
        <v>29</v>
      </c>
      <c r="G1726">
        <v>10</v>
      </c>
      <c r="H1726">
        <v>1</v>
      </c>
      <c r="I1726">
        <v>0</v>
      </c>
      <c r="J1726">
        <v>28.093276979999999</v>
      </c>
      <c r="K1726">
        <v>18.55385399</v>
      </c>
      <c r="N1726">
        <v>0</v>
      </c>
      <c r="O1726">
        <v>0</v>
      </c>
    </row>
    <row r="1727" spans="1:15">
      <c r="A1727">
        <v>1.2975169689999999</v>
      </c>
      <c r="B1727">
        <v>0.80811212499999996</v>
      </c>
      <c r="C1727">
        <v>0.648758485</v>
      </c>
      <c r="D1727">
        <v>1.486998043</v>
      </c>
      <c r="E1727">
        <v>4</v>
      </c>
      <c r="F1727">
        <v>33</v>
      </c>
      <c r="G1727">
        <v>10</v>
      </c>
      <c r="H1727">
        <v>1</v>
      </c>
      <c r="I1727">
        <v>0</v>
      </c>
      <c r="J1727">
        <v>43.543975830000001</v>
      </c>
      <c r="K1727">
        <v>25.38510132</v>
      </c>
      <c r="L1727">
        <v>25.38510132</v>
      </c>
      <c r="M1727">
        <v>3.2341623309999998</v>
      </c>
      <c r="N1727">
        <v>1</v>
      </c>
      <c r="O1727">
        <v>3.2341623309999998</v>
      </c>
    </row>
    <row r="1728" spans="1:15">
      <c r="A1728">
        <v>-1.9348601999999999E-2</v>
      </c>
      <c r="B1728">
        <v>0.72026511699999995</v>
      </c>
      <c r="C1728">
        <v>-9.6743009999999997E-3</v>
      </c>
      <c r="D1728">
        <v>0.49819475000000002</v>
      </c>
      <c r="E1728">
        <v>5</v>
      </c>
      <c r="F1728">
        <v>35</v>
      </c>
      <c r="G1728">
        <v>16</v>
      </c>
      <c r="H1728">
        <v>0</v>
      </c>
      <c r="I1728">
        <v>1</v>
      </c>
      <c r="J1728">
        <v>36.978336329999998</v>
      </c>
      <c r="K1728">
        <v>23.88390923</v>
      </c>
      <c r="L1728">
        <v>23.88390923</v>
      </c>
      <c r="M1728">
        <v>3.1732048989999999</v>
      </c>
      <c r="N1728">
        <v>1</v>
      </c>
      <c r="O1728">
        <v>3.1732048989999999</v>
      </c>
    </row>
    <row r="1729" spans="1:15">
      <c r="A1729">
        <v>1.4594372609999999</v>
      </c>
      <c r="B1729">
        <v>1.6566627679999999</v>
      </c>
      <c r="C1729">
        <v>0.72971863100000001</v>
      </c>
      <c r="D1729">
        <v>2.2038679139999999</v>
      </c>
      <c r="E1729">
        <v>6</v>
      </c>
      <c r="F1729">
        <v>32</v>
      </c>
      <c r="G1729">
        <v>12</v>
      </c>
      <c r="H1729">
        <v>1</v>
      </c>
      <c r="I1729">
        <v>2</v>
      </c>
      <c r="J1729">
        <v>63.246414180000002</v>
      </c>
      <c r="K1729">
        <v>28.156623840000002</v>
      </c>
      <c r="L1729">
        <v>28.156623840000002</v>
      </c>
      <c r="M1729">
        <v>3.3377826210000001</v>
      </c>
      <c r="N1729">
        <v>1</v>
      </c>
      <c r="O1729">
        <v>3.3377826210000001</v>
      </c>
    </row>
    <row r="1730" spans="1:15">
      <c r="A1730">
        <v>0.84047367699999997</v>
      </c>
      <c r="B1730">
        <v>3.42396075</v>
      </c>
      <c r="C1730">
        <v>0.420236838</v>
      </c>
      <c r="D1730">
        <v>3.0242496110000001</v>
      </c>
      <c r="E1730">
        <v>7</v>
      </c>
      <c r="F1730">
        <v>43</v>
      </c>
      <c r="G1730">
        <v>16</v>
      </c>
      <c r="H1730">
        <v>1</v>
      </c>
      <c r="I1730">
        <v>1</v>
      </c>
      <c r="J1730">
        <v>75.490997309999997</v>
      </c>
      <c r="K1730">
        <v>30.64284134</v>
      </c>
      <c r="L1730">
        <v>30.64284134</v>
      </c>
      <c r="M1730">
        <v>3.4223990440000001</v>
      </c>
      <c r="N1730">
        <v>1</v>
      </c>
      <c r="O1730">
        <v>3.4223990440000001</v>
      </c>
    </row>
    <row r="1731" spans="1:15">
      <c r="A1731">
        <v>0.75390042300000004</v>
      </c>
      <c r="B1731">
        <v>0.88274039900000001</v>
      </c>
      <c r="C1731">
        <v>0.37695021099999998</v>
      </c>
      <c r="D1731">
        <v>1.157607182</v>
      </c>
      <c r="E1731">
        <v>8</v>
      </c>
      <c r="F1731">
        <v>46</v>
      </c>
      <c r="G1731">
        <v>16</v>
      </c>
      <c r="H1731">
        <v>1</v>
      </c>
      <c r="I1731">
        <v>1</v>
      </c>
      <c r="J1731">
        <v>54.291286470000003</v>
      </c>
      <c r="K1731">
        <v>30.723402020000002</v>
      </c>
      <c r="L1731">
        <v>30.723402020000002</v>
      </c>
      <c r="M1731">
        <v>3.4250247479999998</v>
      </c>
      <c r="N1731">
        <v>1</v>
      </c>
      <c r="O1731">
        <v>3.4250247479999998</v>
      </c>
    </row>
    <row r="1732" spans="1:15">
      <c r="A1732">
        <v>2.1941176910000002</v>
      </c>
      <c r="B1732">
        <v>-9.7953471E-2</v>
      </c>
      <c r="C1732">
        <v>1.0970588459999999</v>
      </c>
      <c r="D1732">
        <v>1.4739014269999999</v>
      </c>
      <c r="E1732">
        <v>9</v>
      </c>
      <c r="F1732">
        <v>42</v>
      </c>
      <c r="G1732">
        <v>20</v>
      </c>
      <c r="H1732">
        <v>1</v>
      </c>
      <c r="I1732">
        <v>0</v>
      </c>
      <c r="J1732">
        <v>54.486816410000003</v>
      </c>
      <c r="K1732">
        <v>42.564704900000002</v>
      </c>
      <c r="L1732">
        <v>42.564704900000002</v>
      </c>
      <c r="M1732">
        <v>3.7510254380000001</v>
      </c>
      <c r="N1732">
        <v>1</v>
      </c>
      <c r="O1732">
        <v>3.7510254380000001</v>
      </c>
    </row>
    <row r="1733" spans="1:15">
      <c r="A1733">
        <v>-0.32391002899999999</v>
      </c>
      <c r="B1733">
        <v>1.1101752330000001</v>
      </c>
      <c r="C1733">
        <v>-0.16195501400000001</v>
      </c>
      <c r="D1733">
        <v>0.56100597500000005</v>
      </c>
      <c r="E1733">
        <v>0</v>
      </c>
      <c r="F1733">
        <v>44</v>
      </c>
      <c r="G1733">
        <v>10</v>
      </c>
      <c r="H1733">
        <v>0</v>
      </c>
      <c r="I1733">
        <v>1</v>
      </c>
      <c r="J1733">
        <v>36.832073209999997</v>
      </c>
      <c r="K1733">
        <v>17.856540679999998</v>
      </c>
      <c r="L1733">
        <v>17.856540679999998</v>
      </c>
      <c r="M1733">
        <v>2.8823697570000002</v>
      </c>
      <c r="N1733">
        <v>1</v>
      </c>
      <c r="O1733">
        <v>2.8823697570000002</v>
      </c>
    </row>
    <row r="1734" spans="1:15">
      <c r="A1734">
        <v>1.6848021740000001</v>
      </c>
      <c r="B1734">
        <v>1.0882881579999999</v>
      </c>
      <c r="C1734">
        <v>0.84240108700000005</v>
      </c>
      <c r="D1734">
        <v>1.958530683</v>
      </c>
      <c r="E1734">
        <v>1</v>
      </c>
      <c r="F1734">
        <v>50</v>
      </c>
      <c r="G1734">
        <v>10</v>
      </c>
      <c r="H1734">
        <v>1</v>
      </c>
      <c r="I1734">
        <v>0</v>
      </c>
      <c r="J1734">
        <v>56.002368930000003</v>
      </c>
      <c r="K1734">
        <v>31.108812329999999</v>
      </c>
      <c r="L1734">
        <v>31.108812329999999</v>
      </c>
      <c r="M1734">
        <v>3.4374911789999998</v>
      </c>
      <c r="N1734">
        <v>1</v>
      </c>
      <c r="O1734">
        <v>3.4374911789999998</v>
      </c>
    </row>
    <row r="1735" spans="1:15">
      <c r="A1735">
        <v>1.5784242049999999</v>
      </c>
      <c r="B1735">
        <v>-1.614272615</v>
      </c>
      <c r="C1735">
        <v>0.789212103</v>
      </c>
      <c r="D1735">
        <v>-3.668913E-2</v>
      </c>
      <c r="E1735">
        <v>2</v>
      </c>
      <c r="F1735">
        <v>25</v>
      </c>
      <c r="G1735">
        <v>10</v>
      </c>
      <c r="H1735">
        <v>1</v>
      </c>
      <c r="I1735">
        <v>2</v>
      </c>
      <c r="J1735">
        <v>32.059730530000003</v>
      </c>
      <c r="K1735">
        <v>25.470544820000001</v>
      </c>
      <c r="L1735">
        <v>25.470544820000001</v>
      </c>
      <c r="M1735">
        <v>3.2375226019999999</v>
      </c>
      <c r="N1735">
        <v>1</v>
      </c>
      <c r="O1735">
        <v>3.2375226019999999</v>
      </c>
    </row>
    <row r="1736" spans="1:15">
      <c r="A1736">
        <v>-0.74575312299999996</v>
      </c>
      <c r="B1736">
        <v>-1.2896933209999999</v>
      </c>
      <c r="C1736">
        <v>-0.372876561</v>
      </c>
      <c r="D1736">
        <v>-1.4410483780000001</v>
      </c>
      <c r="E1736">
        <v>3</v>
      </c>
      <c r="F1736">
        <v>30</v>
      </c>
      <c r="G1736">
        <v>16</v>
      </c>
      <c r="H1736">
        <v>1</v>
      </c>
      <c r="I1736">
        <v>3</v>
      </c>
      <c r="J1736">
        <v>26.70742035</v>
      </c>
      <c r="K1736">
        <v>18.525482180000001</v>
      </c>
      <c r="N1736">
        <v>0</v>
      </c>
      <c r="O1736">
        <v>0</v>
      </c>
    </row>
    <row r="1737" spans="1:15">
      <c r="A1737">
        <v>-1.4886069479999999</v>
      </c>
      <c r="B1737">
        <v>-2.4210283750000001</v>
      </c>
      <c r="C1737">
        <v>-0.74430347399999996</v>
      </c>
      <c r="D1737">
        <v>-2.7675309559999999</v>
      </c>
      <c r="E1737">
        <v>4</v>
      </c>
      <c r="F1737">
        <v>47</v>
      </c>
      <c r="G1737">
        <v>12</v>
      </c>
      <c r="H1737">
        <v>1</v>
      </c>
      <c r="I1737">
        <v>1</v>
      </c>
      <c r="J1737">
        <v>4.5896286960000001</v>
      </c>
      <c r="K1737">
        <v>13.46835804</v>
      </c>
      <c r="N1737">
        <v>0</v>
      </c>
      <c r="O1737">
        <v>0</v>
      </c>
    </row>
    <row r="1738" spans="1:15">
      <c r="A1738">
        <v>-2.2817704239999999</v>
      </c>
      <c r="B1738">
        <v>1.3004785699999999</v>
      </c>
      <c r="C1738">
        <v>-1.1408852119999999</v>
      </c>
      <c r="D1738">
        <v>-0.68107256900000002</v>
      </c>
      <c r="E1738">
        <v>5</v>
      </c>
      <c r="F1738">
        <v>31</v>
      </c>
      <c r="G1738">
        <v>16</v>
      </c>
      <c r="H1738">
        <v>1</v>
      </c>
      <c r="I1738">
        <v>0</v>
      </c>
      <c r="J1738">
        <v>21.22712898</v>
      </c>
      <c r="K1738">
        <v>9.5093774799999995</v>
      </c>
      <c r="N1738">
        <v>0</v>
      </c>
      <c r="O1738">
        <v>0</v>
      </c>
    </row>
    <row r="1739" spans="1:15">
      <c r="A1739">
        <v>-1.652249715</v>
      </c>
      <c r="B1739">
        <v>1.060346368</v>
      </c>
      <c r="C1739">
        <v>-0.82612485700000005</v>
      </c>
      <c r="D1739">
        <v>-0.40885412799999998</v>
      </c>
      <c r="E1739">
        <v>6</v>
      </c>
      <c r="F1739">
        <v>36</v>
      </c>
      <c r="G1739">
        <v>20</v>
      </c>
      <c r="H1739">
        <v>1</v>
      </c>
      <c r="I1739">
        <v>0</v>
      </c>
      <c r="J1739">
        <v>29.493749619999999</v>
      </c>
      <c r="K1739">
        <v>18.286500929999999</v>
      </c>
      <c r="L1739">
        <v>18.286500929999999</v>
      </c>
      <c r="M1739">
        <v>2.9061632159999999</v>
      </c>
      <c r="N1739">
        <v>1</v>
      </c>
      <c r="O1739">
        <v>2.9061632159999999</v>
      </c>
    </row>
    <row r="1740" spans="1:15">
      <c r="A1740">
        <v>-0.475090073</v>
      </c>
      <c r="B1740">
        <v>-1.21538423</v>
      </c>
      <c r="C1740">
        <v>-0.23754503699999999</v>
      </c>
      <c r="D1740">
        <v>-1.1978413489999999</v>
      </c>
      <c r="E1740">
        <v>7</v>
      </c>
      <c r="F1740">
        <v>56</v>
      </c>
      <c r="G1740">
        <v>16</v>
      </c>
      <c r="H1740">
        <v>1</v>
      </c>
      <c r="I1740">
        <v>0</v>
      </c>
      <c r="J1740">
        <v>25.025903700000001</v>
      </c>
      <c r="K1740">
        <v>25.349458689999999</v>
      </c>
      <c r="N1740">
        <v>0</v>
      </c>
      <c r="O1740">
        <v>0</v>
      </c>
    </row>
    <row r="1741" spans="1:15">
      <c r="A1741">
        <v>-2.7250988390000002</v>
      </c>
      <c r="B1741">
        <v>-0.32640595900000002</v>
      </c>
      <c r="C1741">
        <v>-1.3625494199999999</v>
      </c>
      <c r="D1741">
        <v>-2.148974296</v>
      </c>
      <c r="E1741">
        <v>8</v>
      </c>
      <c r="F1741">
        <v>43</v>
      </c>
      <c r="G1741">
        <v>16</v>
      </c>
      <c r="H1741">
        <v>1</v>
      </c>
      <c r="I1741">
        <v>1</v>
      </c>
      <c r="J1741">
        <v>13.41230869</v>
      </c>
      <c r="K1741">
        <v>9.2494068150000004</v>
      </c>
      <c r="N1741">
        <v>0</v>
      </c>
      <c r="O1741">
        <v>0</v>
      </c>
    </row>
    <row r="1742" spans="1:15">
      <c r="A1742">
        <v>-0.346133941</v>
      </c>
      <c r="B1742">
        <v>-0.62756467999999999</v>
      </c>
      <c r="C1742">
        <v>-0.17306696999999999</v>
      </c>
      <c r="D1742">
        <v>-0.68943121500000004</v>
      </c>
      <c r="E1742">
        <v>9</v>
      </c>
      <c r="F1742">
        <v>48</v>
      </c>
      <c r="G1742">
        <v>20</v>
      </c>
      <c r="H1742">
        <v>1</v>
      </c>
      <c r="I1742">
        <v>0</v>
      </c>
      <c r="J1742">
        <v>30.926824570000001</v>
      </c>
      <c r="K1742">
        <v>28.52319717</v>
      </c>
      <c r="L1742">
        <v>28.52319717</v>
      </c>
      <c r="M1742">
        <v>3.3507177829999999</v>
      </c>
      <c r="N1742">
        <v>1</v>
      </c>
      <c r="O1742">
        <v>3.3507177829999999</v>
      </c>
    </row>
    <row r="1743" spans="1:15">
      <c r="A1743">
        <v>-0.67693932400000001</v>
      </c>
      <c r="B1743">
        <v>4.2802910000000003E-3</v>
      </c>
      <c r="C1743">
        <v>-0.338469662</v>
      </c>
      <c r="D1743">
        <v>-0.47316786500000002</v>
      </c>
      <c r="E1743">
        <v>0</v>
      </c>
      <c r="F1743">
        <v>32</v>
      </c>
      <c r="G1743">
        <v>12</v>
      </c>
      <c r="H1743">
        <v>0</v>
      </c>
      <c r="I1743">
        <v>1</v>
      </c>
      <c r="J1743">
        <v>21.12198639</v>
      </c>
      <c r="K1743">
        <v>15.33836365</v>
      </c>
      <c r="N1743">
        <v>0</v>
      </c>
      <c r="O1743">
        <v>0</v>
      </c>
    </row>
    <row r="1744" spans="1:15">
      <c r="A1744">
        <v>-1.478602741</v>
      </c>
      <c r="B1744">
        <v>0.76574453399999998</v>
      </c>
      <c r="C1744">
        <v>-0.73930137100000004</v>
      </c>
      <c r="D1744">
        <v>-0.49603613499999999</v>
      </c>
      <c r="E1744">
        <v>1</v>
      </c>
      <c r="F1744">
        <v>26</v>
      </c>
      <c r="G1744">
        <v>10</v>
      </c>
      <c r="H1744">
        <v>0</v>
      </c>
      <c r="I1744">
        <v>4</v>
      </c>
      <c r="J1744">
        <v>31.947566989999999</v>
      </c>
      <c r="K1744">
        <v>7.3283834460000001</v>
      </c>
      <c r="L1744">
        <v>7.3283834460000001</v>
      </c>
      <c r="M1744">
        <v>1.991755009</v>
      </c>
      <c r="N1744">
        <v>1</v>
      </c>
      <c r="O1744">
        <v>1.991755009</v>
      </c>
    </row>
    <row r="1745" spans="1:15">
      <c r="A1745">
        <v>-6.4807486999999997E-2</v>
      </c>
      <c r="B1745">
        <v>-0.63477357199999995</v>
      </c>
      <c r="C1745">
        <v>-3.2403742999999999E-2</v>
      </c>
      <c r="D1745">
        <v>-0.496647805</v>
      </c>
      <c r="E1745">
        <v>2</v>
      </c>
      <c r="F1745">
        <v>25</v>
      </c>
      <c r="G1745">
        <v>12</v>
      </c>
      <c r="H1745">
        <v>1</v>
      </c>
      <c r="I1745">
        <v>1</v>
      </c>
      <c r="J1745">
        <v>23.040225979999999</v>
      </c>
      <c r="K1745">
        <v>17.611154559999999</v>
      </c>
      <c r="N1745">
        <v>0</v>
      </c>
      <c r="O1745">
        <v>0</v>
      </c>
    </row>
    <row r="1746" spans="1:15">
      <c r="A1746">
        <v>-0.23002278600000001</v>
      </c>
      <c r="B1746">
        <v>0.80564882900000001</v>
      </c>
      <c r="C1746">
        <v>-0.115011393</v>
      </c>
      <c r="D1746">
        <v>0.41066285400000002</v>
      </c>
      <c r="E1746">
        <v>3</v>
      </c>
      <c r="F1746">
        <v>32</v>
      </c>
      <c r="G1746">
        <v>16</v>
      </c>
      <c r="H1746">
        <v>0</v>
      </c>
      <c r="I1746">
        <v>3</v>
      </c>
      <c r="J1746">
        <v>44.727954859999997</v>
      </c>
      <c r="K1746">
        <v>22.019863130000001</v>
      </c>
      <c r="L1746">
        <v>22.019863130000001</v>
      </c>
      <c r="M1746">
        <v>3.0919449330000002</v>
      </c>
      <c r="N1746">
        <v>1</v>
      </c>
      <c r="O1746">
        <v>3.0919449330000002</v>
      </c>
    </row>
    <row r="1747" spans="1:15">
      <c r="A1747">
        <v>-0.95421846099999996</v>
      </c>
      <c r="B1747">
        <v>0.47100207399999999</v>
      </c>
      <c r="C1747">
        <v>-0.47710923100000002</v>
      </c>
      <c r="D1747">
        <v>-0.33658341899999999</v>
      </c>
      <c r="E1747">
        <v>4</v>
      </c>
      <c r="F1747">
        <v>33</v>
      </c>
      <c r="G1747">
        <v>10</v>
      </c>
      <c r="H1747">
        <v>0</v>
      </c>
      <c r="I1747">
        <v>3</v>
      </c>
      <c r="J1747">
        <v>31.6609993</v>
      </c>
      <c r="K1747">
        <v>11.874689099999999</v>
      </c>
      <c r="L1747">
        <v>11.874689099999999</v>
      </c>
      <c r="M1747">
        <v>2.4744091030000002</v>
      </c>
      <c r="N1747">
        <v>1</v>
      </c>
      <c r="O1747">
        <v>2.4744091030000002</v>
      </c>
    </row>
    <row r="1748" spans="1:15">
      <c r="A1748">
        <v>0.396130327</v>
      </c>
      <c r="B1748">
        <v>2.6679614000000001E-2</v>
      </c>
      <c r="C1748">
        <v>0.19806516399999999</v>
      </c>
      <c r="D1748">
        <v>0.297625468</v>
      </c>
      <c r="E1748">
        <v>5</v>
      </c>
      <c r="F1748">
        <v>31</v>
      </c>
      <c r="G1748">
        <v>16</v>
      </c>
      <c r="H1748">
        <v>1</v>
      </c>
      <c r="I1748">
        <v>3</v>
      </c>
      <c r="J1748">
        <v>47.971504209999999</v>
      </c>
      <c r="K1748">
        <v>25.576782229999999</v>
      </c>
      <c r="L1748">
        <v>25.576782229999999</v>
      </c>
      <c r="M1748">
        <v>3.2416849139999999</v>
      </c>
      <c r="N1748">
        <v>1</v>
      </c>
      <c r="O1748">
        <v>3.2416849139999999</v>
      </c>
    </row>
    <row r="1749" spans="1:15">
      <c r="A1749">
        <v>-0.67086890200000004</v>
      </c>
      <c r="B1749">
        <v>-1.126876464</v>
      </c>
      <c r="C1749">
        <v>-0.33543445100000002</v>
      </c>
      <c r="D1749">
        <v>-1.2726748560000001</v>
      </c>
      <c r="E1749">
        <v>6</v>
      </c>
      <c r="F1749">
        <v>38</v>
      </c>
      <c r="G1749">
        <v>12</v>
      </c>
      <c r="H1749">
        <v>1</v>
      </c>
      <c r="I1749">
        <v>1</v>
      </c>
      <c r="J1749">
        <v>18.92790222</v>
      </c>
      <c r="K1749">
        <v>16.574787140000002</v>
      </c>
      <c r="N1749">
        <v>0</v>
      </c>
      <c r="O1749">
        <v>0</v>
      </c>
    </row>
    <row r="1750" spans="1:15">
      <c r="A1750">
        <v>-0.86638412899999995</v>
      </c>
      <c r="B1750">
        <v>-1.3024139809999999</v>
      </c>
      <c r="C1750">
        <v>-0.43319206500000002</v>
      </c>
      <c r="D1750">
        <v>-1.534948226</v>
      </c>
      <c r="E1750">
        <v>7</v>
      </c>
      <c r="F1750">
        <v>38</v>
      </c>
      <c r="G1750">
        <v>16</v>
      </c>
      <c r="H1750">
        <v>1</v>
      </c>
      <c r="I1750">
        <v>1</v>
      </c>
      <c r="J1750">
        <v>18.78062057</v>
      </c>
      <c r="K1750">
        <v>19.40169525</v>
      </c>
      <c r="N1750">
        <v>0</v>
      </c>
      <c r="O1750">
        <v>0</v>
      </c>
    </row>
    <row r="1751" spans="1:15">
      <c r="A1751">
        <v>-0.52996832299999996</v>
      </c>
      <c r="B1751">
        <v>0.90782381599999995</v>
      </c>
      <c r="C1751">
        <v>-0.264984161</v>
      </c>
      <c r="D1751">
        <v>0.27226240800000001</v>
      </c>
      <c r="E1751">
        <v>8</v>
      </c>
      <c r="F1751">
        <v>38</v>
      </c>
      <c r="G1751">
        <v>10</v>
      </c>
      <c r="H1751">
        <v>1</v>
      </c>
      <c r="I1751">
        <v>5</v>
      </c>
      <c r="J1751">
        <v>55.967147830000002</v>
      </c>
      <c r="K1751">
        <v>15.420189860000001</v>
      </c>
      <c r="L1751">
        <v>15.420189860000001</v>
      </c>
      <c r="M1751">
        <v>2.7356777189999999</v>
      </c>
      <c r="N1751">
        <v>1</v>
      </c>
      <c r="O1751">
        <v>2.7356777189999999</v>
      </c>
    </row>
    <row r="1752" spans="1:15">
      <c r="A1752">
        <v>0.89888956499999995</v>
      </c>
      <c r="B1752">
        <v>1.5639501179999999</v>
      </c>
      <c r="C1752">
        <v>0.44944478300000001</v>
      </c>
      <c r="D1752">
        <v>1.7436573129999999</v>
      </c>
      <c r="E1752">
        <v>9</v>
      </c>
      <c r="F1752">
        <v>38</v>
      </c>
      <c r="G1752">
        <v>12</v>
      </c>
      <c r="H1752">
        <v>1</v>
      </c>
      <c r="I1752">
        <v>4</v>
      </c>
      <c r="J1752">
        <v>70.123886110000001</v>
      </c>
      <c r="K1752">
        <v>25.993337629999999</v>
      </c>
      <c r="L1752">
        <v>25.993337629999999</v>
      </c>
      <c r="M1752">
        <v>3.257840157</v>
      </c>
      <c r="N1752">
        <v>1</v>
      </c>
      <c r="O1752">
        <v>3.257840157</v>
      </c>
    </row>
    <row r="1753" spans="1:15">
      <c r="A1753">
        <v>1.360648681</v>
      </c>
      <c r="B1753">
        <v>1.0887165919999999</v>
      </c>
      <c r="C1753">
        <v>0.68032434100000005</v>
      </c>
      <c r="D1753">
        <v>1.7308014979999999</v>
      </c>
      <c r="E1753">
        <v>0</v>
      </c>
      <c r="F1753">
        <v>50</v>
      </c>
      <c r="G1753">
        <v>10</v>
      </c>
      <c r="H1753">
        <v>0</v>
      </c>
      <c r="I1753">
        <v>1</v>
      </c>
      <c r="J1753">
        <v>53.269618989999998</v>
      </c>
      <c r="K1753">
        <v>29.163892749999999</v>
      </c>
      <c r="L1753">
        <v>29.163892749999999</v>
      </c>
      <c r="M1753">
        <v>3.3729314800000001</v>
      </c>
      <c r="N1753">
        <v>1</v>
      </c>
      <c r="O1753">
        <v>3.3729314800000001</v>
      </c>
    </row>
    <row r="1754" spans="1:15">
      <c r="A1754">
        <v>0.57132983000000004</v>
      </c>
      <c r="B1754">
        <v>-0.75937987799999995</v>
      </c>
      <c r="C1754">
        <v>0.28566491500000002</v>
      </c>
      <c r="D1754">
        <v>-0.13768436000000001</v>
      </c>
      <c r="E1754">
        <v>1</v>
      </c>
      <c r="F1754">
        <v>29</v>
      </c>
      <c r="G1754">
        <v>10</v>
      </c>
      <c r="H1754">
        <v>1</v>
      </c>
      <c r="I1754">
        <v>0</v>
      </c>
      <c r="J1754">
        <v>22.447788240000001</v>
      </c>
      <c r="K1754">
        <v>20.227979659999999</v>
      </c>
      <c r="N1754">
        <v>0</v>
      </c>
      <c r="O1754">
        <v>0</v>
      </c>
    </row>
    <row r="1755" spans="1:15">
      <c r="A1755">
        <v>1.569729846</v>
      </c>
      <c r="B1755">
        <v>0.12312972699999999</v>
      </c>
      <c r="C1755">
        <v>0.78486492299999999</v>
      </c>
      <c r="D1755">
        <v>1.1917579819999999</v>
      </c>
      <c r="E1755">
        <v>2</v>
      </c>
      <c r="F1755">
        <v>25</v>
      </c>
      <c r="G1755">
        <v>12</v>
      </c>
      <c r="H1755">
        <v>0</v>
      </c>
      <c r="I1755">
        <v>4</v>
      </c>
      <c r="J1755">
        <v>53.301094059999997</v>
      </c>
      <c r="K1755">
        <v>27.418378830000002</v>
      </c>
      <c r="L1755">
        <v>27.418378830000002</v>
      </c>
      <c r="M1755">
        <v>3.3112134929999999</v>
      </c>
      <c r="N1755">
        <v>1</v>
      </c>
      <c r="O1755">
        <v>3.3112134929999999</v>
      </c>
    </row>
    <row r="1756" spans="1:15">
      <c r="A1756">
        <v>-2.0713285969999999</v>
      </c>
      <c r="B1756">
        <v>0.57197688899999999</v>
      </c>
      <c r="C1756">
        <v>-1.0356642979999999</v>
      </c>
      <c r="D1756">
        <v>-1.0506909019999999</v>
      </c>
      <c r="E1756">
        <v>3</v>
      </c>
      <c r="F1756">
        <v>30</v>
      </c>
      <c r="G1756">
        <v>10</v>
      </c>
      <c r="H1756">
        <v>0</v>
      </c>
      <c r="I1756">
        <v>2</v>
      </c>
      <c r="J1756">
        <v>16.89170837</v>
      </c>
      <c r="K1756">
        <v>4.5720286369999998</v>
      </c>
      <c r="N1756">
        <v>0</v>
      </c>
      <c r="O1756">
        <v>0</v>
      </c>
    </row>
    <row r="1757" spans="1:15">
      <c r="A1757">
        <v>1.119897243</v>
      </c>
      <c r="B1757">
        <v>-0.135409521</v>
      </c>
      <c r="C1757">
        <v>0.55994862199999995</v>
      </c>
      <c r="D1757">
        <v>0.69159952800000002</v>
      </c>
      <c r="E1757">
        <v>4</v>
      </c>
      <c r="F1757">
        <v>37</v>
      </c>
      <c r="G1757">
        <v>16</v>
      </c>
      <c r="H1757">
        <v>0</v>
      </c>
      <c r="I1757">
        <v>1</v>
      </c>
      <c r="J1757">
        <v>40.099193569999997</v>
      </c>
      <c r="K1757">
        <v>31.119382860000002</v>
      </c>
      <c r="L1757">
        <v>31.119382860000002</v>
      </c>
      <c r="M1757">
        <v>3.4378309250000001</v>
      </c>
      <c r="N1757">
        <v>1</v>
      </c>
      <c r="O1757">
        <v>3.4378309250000001</v>
      </c>
    </row>
    <row r="1758" spans="1:15">
      <c r="A1758">
        <v>1.7668219620000001</v>
      </c>
      <c r="B1758">
        <v>-1.4473700169999999</v>
      </c>
      <c r="C1758">
        <v>0.88341098100000004</v>
      </c>
      <c r="D1758">
        <v>0.21444148199999999</v>
      </c>
      <c r="E1758">
        <v>5</v>
      </c>
      <c r="F1758">
        <v>30</v>
      </c>
      <c r="G1758">
        <v>12</v>
      </c>
      <c r="H1758">
        <v>1</v>
      </c>
      <c r="I1758">
        <v>1</v>
      </c>
      <c r="J1758">
        <v>33.573299409999997</v>
      </c>
      <c r="K1758">
        <v>29.600931169999999</v>
      </c>
      <c r="L1758">
        <v>29.600931169999999</v>
      </c>
      <c r="M1758">
        <v>3.3878056999999999</v>
      </c>
      <c r="N1758">
        <v>1</v>
      </c>
      <c r="O1758">
        <v>3.3878056999999999</v>
      </c>
    </row>
    <row r="1759" spans="1:15">
      <c r="A1759">
        <v>0.122021189</v>
      </c>
      <c r="B1759">
        <v>2.0966003880000001</v>
      </c>
      <c r="C1759">
        <v>6.1010595000000001E-2</v>
      </c>
      <c r="D1759">
        <v>1.57564108</v>
      </c>
      <c r="E1759">
        <v>6</v>
      </c>
      <c r="F1759">
        <v>37</v>
      </c>
      <c r="G1759">
        <v>16</v>
      </c>
      <c r="H1759">
        <v>1</v>
      </c>
      <c r="I1759">
        <v>1</v>
      </c>
      <c r="J1759">
        <v>55.707691189999998</v>
      </c>
      <c r="K1759">
        <v>25.132127759999999</v>
      </c>
      <c r="L1759">
        <v>25.132127759999999</v>
      </c>
      <c r="M1759">
        <v>3.2241470809999999</v>
      </c>
      <c r="N1759">
        <v>1</v>
      </c>
      <c r="O1759">
        <v>3.2241470809999999</v>
      </c>
    </row>
    <row r="1760" spans="1:15">
      <c r="A1760">
        <v>2.4417021000000001E-2</v>
      </c>
      <c r="B1760">
        <v>-1.511503611</v>
      </c>
      <c r="C1760">
        <v>1.2208511E-2</v>
      </c>
      <c r="D1760">
        <v>-1.0568675030000001</v>
      </c>
      <c r="E1760">
        <v>7</v>
      </c>
      <c r="F1760">
        <v>35</v>
      </c>
      <c r="G1760">
        <v>20</v>
      </c>
      <c r="H1760">
        <v>0</v>
      </c>
      <c r="I1760">
        <v>2</v>
      </c>
      <c r="J1760">
        <v>26.317590710000001</v>
      </c>
      <c r="K1760">
        <v>28.146501539999999</v>
      </c>
      <c r="N1760">
        <v>0</v>
      </c>
      <c r="O1760">
        <v>0</v>
      </c>
    </row>
    <row r="1761" spans="1:15">
      <c r="A1761">
        <v>9.4392870000000004E-2</v>
      </c>
      <c r="B1761">
        <v>-0.84925800799999995</v>
      </c>
      <c r="C1761">
        <v>4.7196435000000002E-2</v>
      </c>
      <c r="D1761">
        <v>-0.53706281300000003</v>
      </c>
      <c r="E1761">
        <v>8</v>
      </c>
      <c r="F1761">
        <v>37</v>
      </c>
      <c r="G1761">
        <v>16</v>
      </c>
      <c r="H1761">
        <v>1</v>
      </c>
      <c r="I1761">
        <v>1</v>
      </c>
      <c r="J1761">
        <v>30.355245589999999</v>
      </c>
      <c r="K1761">
        <v>24.966356279999999</v>
      </c>
      <c r="L1761">
        <v>24.966356279999999</v>
      </c>
      <c r="M1761">
        <v>3.2175290580000002</v>
      </c>
      <c r="N1761">
        <v>1</v>
      </c>
      <c r="O1761">
        <v>3.2175290580000002</v>
      </c>
    </row>
    <row r="1762" spans="1:15">
      <c r="A1762">
        <v>0.63820462099999997</v>
      </c>
      <c r="B1762">
        <v>2.408204461</v>
      </c>
      <c r="C1762">
        <v>0.31910231100000003</v>
      </c>
      <c r="D1762">
        <v>2.1601824359999999</v>
      </c>
      <c r="E1762">
        <v>9</v>
      </c>
      <c r="F1762">
        <v>50</v>
      </c>
      <c r="G1762">
        <v>16</v>
      </c>
      <c r="H1762">
        <v>1</v>
      </c>
      <c r="I1762">
        <v>3</v>
      </c>
      <c r="J1762">
        <v>77.922187809999997</v>
      </c>
      <c r="K1762">
        <v>30.829227450000001</v>
      </c>
      <c r="L1762">
        <v>30.829227450000001</v>
      </c>
      <c r="M1762">
        <v>3.4284632209999999</v>
      </c>
      <c r="N1762">
        <v>1</v>
      </c>
      <c r="O1762">
        <v>3.4284632209999999</v>
      </c>
    </row>
    <row r="1763" spans="1:15">
      <c r="A1763">
        <v>0.46887141999999998</v>
      </c>
      <c r="B1763">
        <v>0.202810356</v>
      </c>
      <c r="C1763">
        <v>0.23443570999999999</v>
      </c>
      <c r="D1763">
        <v>0.47395193600000002</v>
      </c>
      <c r="E1763">
        <v>0</v>
      </c>
      <c r="F1763">
        <v>27</v>
      </c>
      <c r="G1763">
        <v>10</v>
      </c>
      <c r="H1763">
        <v>0</v>
      </c>
      <c r="I1763">
        <v>0</v>
      </c>
      <c r="J1763">
        <v>23.987422939999998</v>
      </c>
      <c r="K1763">
        <v>19.213228229999999</v>
      </c>
      <c r="N1763">
        <v>0</v>
      </c>
      <c r="O1763">
        <v>0</v>
      </c>
    </row>
    <row r="1764" spans="1:15">
      <c r="A1764">
        <v>-0.99111403300000001</v>
      </c>
      <c r="B1764">
        <v>-0.237128963</v>
      </c>
      <c r="C1764">
        <v>-0.49555701699999999</v>
      </c>
      <c r="D1764">
        <v>-0.86572225999999997</v>
      </c>
      <c r="E1764">
        <v>1</v>
      </c>
      <c r="F1764">
        <v>42</v>
      </c>
      <c r="G1764">
        <v>12</v>
      </c>
      <c r="H1764">
        <v>1</v>
      </c>
      <c r="I1764">
        <v>1</v>
      </c>
      <c r="J1764">
        <v>25.411333079999999</v>
      </c>
      <c r="K1764">
        <v>15.45331573</v>
      </c>
      <c r="N1764">
        <v>0</v>
      </c>
      <c r="O1764">
        <v>0</v>
      </c>
    </row>
    <row r="1765" spans="1:15">
      <c r="A1765">
        <v>-1.1655644709999999</v>
      </c>
      <c r="B1765">
        <v>-0.53932747400000003</v>
      </c>
      <c r="C1765">
        <v>-0.58278223600000001</v>
      </c>
      <c r="D1765">
        <v>-1.203179864</v>
      </c>
      <c r="E1765">
        <v>2</v>
      </c>
      <c r="F1765">
        <v>28</v>
      </c>
      <c r="G1765">
        <v>16</v>
      </c>
      <c r="H1765">
        <v>0</v>
      </c>
      <c r="I1765">
        <v>2</v>
      </c>
      <c r="J1765">
        <v>18.76184082</v>
      </c>
      <c r="K1765">
        <v>15.60661316</v>
      </c>
      <c r="N1765">
        <v>0</v>
      </c>
      <c r="O1765">
        <v>0</v>
      </c>
    </row>
    <row r="1766" spans="1:15">
      <c r="A1766">
        <v>-0.22542839000000001</v>
      </c>
      <c r="B1766">
        <v>2.082431626</v>
      </c>
      <c r="C1766">
        <v>-0.112714195</v>
      </c>
      <c r="D1766">
        <v>1.3211512240000001</v>
      </c>
      <c r="E1766">
        <v>3</v>
      </c>
      <c r="F1766">
        <v>38</v>
      </c>
      <c r="G1766">
        <v>10</v>
      </c>
      <c r="H1766">
        <v>1</v>
      </c>
      <c r="I1766">
        <v>1</v>
      </c>
      <c r="J1766">
        <v>48.553813929999997</v>
      </c>
      <c r="K1766">
        <v>17.247428889999998</v>
      </c>
      <c r="L1766">
        <v>17.247428889999998</v>
      </c>
      <c r="M1766">
        <v>2.8476631640000001</v>
      </c>
      <c r="N1766">
        <v>1</v>
      </c>
      <c r="O1766">
        <v>2.8476631640000001</v>
      </c>
    </row>
    <row r="1767" spans="1:15">
      <c r="A1767">
        <v>-0.24500708800000001</v>
      </c>
      <c r="B1767">
        <v>0.16259043100000001</v>
      </c>
      <c r="C1767">
        <v>-0.12250354400000001</v>
      </c>
      <c r="D1767">
        <v>-5.6822656999999999E-2</v>
      </c>
      <c r="E1767">
        <v>4</v>
      </c>
      <c r="F1767">
        <v>33</v>
      </c>
      <c r="G1767">
        <v>20</v>
      </c>
      <c r="H1767">
        <v>0</v>
      </c>
      <c r="I1767">
        <v>0</v>
      </c>
      <c r="J1767">
        <v>27.518127440000001</v>
      </c>
      <c r="K1767">
        <v>26.1299572</v>
      </c>
      <c r="N1767">
        <v>0</v>
      </c>
      <c r="O1767">
        <v>0</v>
      </c>
    </row>
    <row r="1768" spans="1:15">
      <c r="A1768">
        <v>-1.9279484920000001</v>
      </c>
      <c r="B1768">
        <v>-0.61408765899999995</v>
      </c>
      <c r="C1768">
        <v>-0.96397424600000003</v>
      </c>
      <c r="D1768">
        <v>-1.792620452</v>
      </c>
      <c r="E1768">
        <v>5</v>
      </c>
      <c r="F1768">
        <v>35</v>
      </c>
      <c r="G1768">
        <v>12</v>
      </c>
      <c r="H1768">
        <v>1</v>
      </c>
      <c r="I1768">
        <v>1</v>
      </c>
      <c r="J1768">
        <v>11.488554949999999</v>
      </c>
      <c r="K1768">
        <v>8.4323091510000001</v>
      </c>
      <c r="N1768">
        <v>0</v>
      </c>
      <c r="O1768">
        <v>0</v>
      </c>
    </row>
    <row r="1769" spans="1:15">
      <c r="A1769">
        <v>9.9260603000000003E-2</v>
      </c>
      <c r="B1769">
        <v>2.2838540000000001E-3</v>
      </c>
      <c r="C1769">
        <v>4.9630302000000001E-2</v>
      </c>
      <c r="D1769">
        <v>7.1450134999999998E-2</v>
      </c>
      <c r="E1769">
        <v>6</v>
      </c>
      <c r="F1769">
        <v>37</v>
      </c>
      <c r="G1769">
        <v>12</v>
      </c>
      <c r="H1769">
        <v>0</v>
      </c>
      <c r="I1769">
        <v>2</v>
      </c>
      <c r="J1769">
        <v>34.657402040000001</v>
      </c>
      <c r="K1769">
        <v>20.99556351</v>
      </c>
      <c r="L1769">
        <v>20.99556351</v>
      </c>
      <c r="M1769">
        <v>3.0443110469999999</v>
      </c>
      <c r="N1769">
        <v>1</v>
      </c>
      <c r="O1769">
        <v>3.0443110469999999</v>
      </c>
    </row>
    <row r="1770" spans="1:15">
      <c r="A1770">
        <v>-1.0109802530000001</v>
      </c>
      <c r="B1770">
        <v>-0.26630922899999998</v>
      </c>
      <c r="C1770">
        <v>-0.50549012599999998</v>
      </c>
      <c r="D1770">
        <v>-0.900432546</v>
      </c>
      <c r="E1770">
        <v>7</v>
      </c>
      <c r="F1770">
        <v>34</v>
      </c>
      <c r="G1770">
        <v>16</v>
      </c>
      <c r="H1770">
        <v>1</v>
      </c>
      <c r="I1770">
        <v>2</v>
      </c>
      <c r="J1770">
        <v>29.79480934</v>
      </c>
      <c r="K1770">
        <v>17.734119419999999</v>
      </c>
      <c r="L1770">
        <v>17.734119419999999</v>
      </c>
      <c r="M1770">
        <v>2.8754904269999999</v>
      </c>
      <c r="N1770">
        <v>1</v>
      </c>
      <c r="O1770">
        <v>2.8754904269999999</v>
      </c>
    </row>
    <row r="1771" spans="1:15">
      <c r="A1771">
        <v>0.89186763899999999</v>
      </c>
      <c r="B1771">
        <v>0.90666298400000001</v>
      </c>
      <c r="C1771">
        <v>0.44593381900000001</v>
      </c>
      <c r="D1771">
        <v>1.271662471</v>
      </c>
      <c r="E1771">
        <v>8</v>
      </c>
      <c r="F1771">
        <v>38</v>
      </c>
      <c r="G1771">
        <v>16</v>
      </c>
      <c r="H1771">
        <v>1</v>
      </c>
      <c r="I1771">
        <v>1</v>
      </c>
      <c r="J1771">
        <v>52.45994949</v>
      </c>
      <c r="K1771">
        <v>29.951206209999999</v>
      </c>
      <c r="L1771">
        <v>29.951206209999999</v>
      </c>
      <c r="M1771">
        <v>3.3995695110000002</v>
      </c>
      <c r="N1771">
        <v>1</v>
      </c>
      <c r="O1771">
        <v>3.3995695110000002</v>
      </c>
    </row>
    <row r="1772" spans="1:15">
      <c r="A1772">
        <v>-0.84788648600000005</v>
      </c>
      <c r="B1772">
        <v>-2.387090444</v>
      </c>
      <c r="C1772">
        <v>-0.42394324300000003</v>
      </c>
      <c r="D1772">
        <v>-2.292685021</v>
      </c>
      <c r="E1772">
        <v>9</v>
      </c>
      <c r="F1772">
        <v>45</v>
      </c>
      <c r="G1772">
        <v>20</v>
      </c>
      <c r="H1772">
        <v>1</v>
      </c>
      <c r="I1772">
        <v>0</v>
      </c>
      <c r="J1772">
        <v>10.48777962</v>
      </c>
      <c r="K1772">
        <v>24.912681580000001</v>
      </c>
      <c r="N1772">
        <v>0</v>
      </c>
      <c r="O1772">
        <v>0</v>
      </c>
    </row>
    <row r="1773" spans="1:15">
      <c r="A1773">
        <v>-1.5502786420000001</v>
      </c>
      <c r="B1773">
        <v>-0.25954323000000001</v>
      </c>
      <c r="C1773">
        <v>-0.77513932100000005</v>
      </c>
      <c r="D1773">
        <v>-1.2750072699999999</v>
      </c>
      <c r="E1773">
        <v>0</v>
      </c>
      <c r="F1773">
        <v>49</v>
      </c>
      <c r="G1773">
        <v>10</v>
      </c>
      <c r="H1773">
        <v>0</v>
      </c>
      <c r="I1773">
        <v>0</v>
      </c>
      <c r="J1773">
        <v>11.799912450000001</v>
      </c>
      <c r="K1773">
        <v>11.49832821</v>
      </c>
      <c r="N1773">
        <v>0</v>
      </c>
      <c r="O1773">
        <v>0</v>
      </c>
    </row>
    <row r="1774" spans="1:15">
      <c r="A1774">
        <v>0.36425964900000002</v>
      </c>
      <c r="B1774">
        <v>0.46772386799999999</v>
      </c>
      <c r="C1774">
        <v>0.182129825</v>
      </c>
      <c r="D1774">
        <v>0.58860249799999997</v>
      </c>
      <c r="E1774">
        <v>1</v>
      </c>
      <c r="F1774">
        <v>26</v>
      </c>
      <c r="G1774">
        <v>16</v>
      </c>
      <c r="H1774">
        <v>0</v>
      </c>
      <c r="I1774">
        <v>2</v>
      </c>
      <c r="J1774">
        <v>39.463230129999999</v>
      </c>
      <c r="K1774">
        <v>24.385557169999998</v>
      </c>
      <c r="L1774">
        <v>24.385557169999998</v>
      </c>
      <c r="M1774">
        <v>3.193990946</v>
      </c>
      <c r="N1774">
        <v>1</v>
      </c>
      <c r="O1774">
        <v>3.193990946</v>
      </c>
    </row>
    <row r="1775" spans="1:15">
      <c r="A1775">
        <v>-0.55326146099999995</v>
      </c>
      <c r="B1775">
        <v>0.29639776400000001</v>
      </c>
      <c r="C1775">
        <v>-0.27663072999999999</v>
      </c>
      <c r="D1775">
        <v>-0.178590843</v>
      </c>
      <c r="E1775">
        <v>2</v>
      </c>
      <c r="F1775">
        <v>34</v>
      </c>
      <c r="G1775">
        <v>10</v>
      </c>
      <c r="H1775">
        <v>1</v>
      </c>
      <c r="I1775">
        <v>1</v>
      </c>
      <c r="J1775">
        <v>28.95690918</v>
      </c>
      <c r="K1775">
        <v>14.48043156</v>
      </c>
      <c r="N1775">
        <v>0</v>
      </c>
      <c r="O1775">
        <v>0</v>
      </c>
    </row>
    <row r="1776" spans="1:15">
      <c r="A1776">
        <v>-1.226170099</v>
      </c>
      <c r="B1776">
        <v>0.24000930000000001</v>
      </c>
      <c r="C1776">
        <v>-0.61308505000000002</v>
      </c>
      <c r="D1776">
        <v>-0.69203322899999997</v>
      </c>
      <c r="E1776">
        <v>3</v>
      </c>
      <c r="F1776">
        <v>34</v>
      </c>
      <c r="G1776">
        <v>20</v>
      </c>
      <c r="H1776">
        <v>0</v>
      </c>
      <c r="I1776">
        <v>2</v>
      </c>
      <c r="J1776">
        <v>30.295600889999999</v>
      </c>
      <c r="K1776">
        <v>20.442979810000001</v>
      </c>
      <c r="L1776">
        <v>20.442979810000001</v>
      </c>
      <c r="M1776">
        <v>3.0176396369999998</v>
      </c>
      <c r="N1776">
        <v>1</v>
      </c>
      <c r="O1776">
        <v>3.0176396369999998</v>
      </c>
    </row>
    <row r="1777" spans="1:15">
      <c r="A1777">
        <v>0.74947121999999999</v>
      </c>
      <c r="B1777">
        <v>0.18683095799999999</v>
      </c>
      <c r="C1777">
        <v>0.37473561</v>
      </c>
      <c r="D1777">
        <v>0.65999201699999999</v>
      </c>
      <c r="E1777">
        <v>4</v>
      </c>
      <c r="F1777">
        <v>44</v>
      </c>
      <c r="G1777">
        <v>12</v>
      </c>
      <c r="H1777">
        <v>1</v>
      </c>
      <c r="I1777">
        <v>1</v>
      </c>
      <c r="J1777">
        <v>44.519905090000002</v>
      </c>
      <c r="K1777">
        <v>26.296827319999998</v>
      </c>
      <c r="L1777">
        <v>26.296827319999998</v>
      </c>
      <c r="M1777">
        <v>3.2694482800000002</v>
      </c>
      <c r="N1777">
        <v>1</v>
      </c>
      <c r="O1777">
        <v>3.2694482800000002</v>
      </c>
    </row>
    <row r="1778" spans="1:15">
      <c r="A1778">
        <v>-1.5720171030000001</v>
      </c>
      <c r="B1778">
        <v>7.0700403999999994E-2</v>
      </c>
      <c r="C1778">
        <v>-0.786008551</v>
      </c>
      <c r="D1778">
        <v>-1.055635192</v>
      </c>
      <c r="E1778">
        <v>5</v>
      </c>
      <c r="F1778">
        <v>39</v>
      </c>
      <c r="G1778">
        <v>12</v>
      </c>
      <c r="H1778">
        <v>1</v>
      </c>
      <c r="I1778">
        <v>1</v>
      </c>
      <c r="J1778">
        <v>21.932376860000002</v>
      </c>
      <c r="K1778">
        <v>11.36789703</v>
      </c>
      <c r="N1778">
        <v>0</v>
      </c>
      <c r="O1778">
        <v>0</v>
      </c>
    </row>
    <row r="1779" spans="1:15">
      <c r="A1779">
        <v>-0.22760554</v>
      </c>
      <c r="B1779">
        <v>0.52487030099999998</v>
      </c>
      <c r="C1779">
        <v>-0.11380277</v>
      </c>
      <c r="D1779">
        <v>0.21284771599999999</v>
      </c>
      <c r="E1779">
        <v>6</v>
      </c>
      <c r="F1779">
        <v>41</v>
      </c>
      <c r="G1779">
        <v>16</v>
      </c>
      <c r="H1779">
        <v>1</v>
      </c>
      <c r="I1779">
        <v>0</v>
      </c>
      <c r="J1779">
        <v>35.954174039999998</v>
      </c>
      <c r="K1779">
        <v>23.83436584</v>
      </c>
      <c r="L1779">
        <v>23.83436584</v>
      </c>
      <c r="M1779">
        <v>3.171128511</v>
      </c>
      <c r="N1779">
        <v>1</v>
      </c>
      <c r="O1779">
        <v>3.171128511</v>
      </c>
    </row>
    <row r="1780" spans="1:15">
      <c r="A1780">
        <v>-0.80975011299999999</v>
      </c>
      <c r="B1780">
        <v>-0.52124452399999999</v>
      </c>
      <c r="C1780">
        <v>-0.40487505600000001</v>
      </c>
      <c r="D1780">
        <v>-0.940024258</v>
      </c>
      <c r="E1780">
        <v>7</v>
      </c>
      <c r="F1780">
        <v>36</v>
      </c>
      <c r="G1780">
        <v>12</v>
      </c>
      <c r="H1780">
        <v>1</v>
      </c>
      <c r="I1780">
        <v>1</v>
      </c>
      <c r="J1780">
        <v>22.119709010000001</v>
      </c>
      <c r="K1780">
        <v>15.34149933</v>
      </c>
      <c r="N1780">
        <v>0</v>
      </c>
      <c r="O1780">
        <v>0</v>
      </c>
    </row>
    <row r="1781" spans="1:15">
      <c r="A1781">
        <v>-0.35641192900000002</v>
      </c>
      <c r="B1781">
        <v>-0.97586104799999995</v>
      </c>
      <c r="C1781">
        <v>-0.17820596499999999</v>
      </c>
      <c r="D1781">
        <v>-0.94415395099999999</v>
      </c>
      <c r="E1781">
        <v>8</v>
      </c>
      <c r="F1781">
        <v>44</v>
      </c>
      <c r="G1781">
        <v>12</v>
      </c>
      <c r="H1781">
        <v>1</v>
      </c>
      <c r="I1781">
        <v>3</v>
      </c>
      <c r="J1781">
        <v>35.270153049999998</v>
      </c>
      <c r="K1781">
        <v>19.661527629999998</v>
      </c>
      <c r="L1781">
        <v>19.661527629999998</v>
      </c>
      <c r="M1781">
        <v>2.9786639209999999</v>
      </c>
      <c r="N1781">
        <v>1</v>
      </c>
      <c r="O1781">
        <v>2.9786639209999999</v>
      </c>
    </row>
    <row r="1782" spans="1:15">
      <c r="A1782">
        <v>1.2614182359999999</v>
      </c>
      <c r="B1782">
        <v>-1.0315435319999999</v>
      </c>
      <c r="C1782">
        <v>0.63070911799999996</v>
      </c>
      <c r="D1782">
        <v>0.154380983</v>
      </c>
      <c r="E1782">
        <v>9</v>
      </c>
      <c r="F1782">
        <v>52</v>
      </c>
      <c r="G1782">
        <v>16</v>
      </c>
      <c r="H1782">
        <v>1</v>
      </c>
      <c r="I1782">
        <v>1</v>
      </c>
      <c r="J1782">
        <v>44.652572630000002</v>
      </c>
      <c r="K1782">
        <v>34.968509670000003</v>
      </c>
      <c r="L1782">
        <v>34.968509670000003</v>
      </c>
      <c r="M1782">
        <v>3.554447889</v>
      </c>
      <c r="N1782">
        <v>1</v>
      </c>
      <c r="O1782">
        <v>3.554447889</v>
      </c>
    </row>
    <row r="1783" spans="1:15">
      <c r="A1783">
        <v>-0.18891975599999999</v>
      </c>
      <c r="B1783">
        <v>0.734202405</v>
      </c>
      <c r="C1783">
        <v>-9.4459877999999997E-2</v>
      </c>
      <c r="D1783">
        <v>0.38880937500000001</v>
      </c>
      <c r="E1783">
        <v>0</v>
      </c>
      <c r="F1783">
        <v>28</v>
      </c>
      <c r="G1783">
        <v>10</v>
      </c>
      <c r="H1783">
        <v>0</v>
      </c>
      <c r="I1783">
        <v>0</v>
      </c>
      <c r="J1783">
        <v>23.365713119999999</v>
      </c>
      <c r="K1783">
        <v>15.46648121</v>
      </c>
      <c r="N1783">
        <v>0</v>
      </c>
      <c r="O1783">
        <v>0</v>
      </c>
    </row>
    <row r="1784" spans="1:15">
      <c r="A1784">
        <v>1.2785741349999999</v>
      </c>
      <c r="B1784">
        <v>0.294553379</v>
      </c>
      <c r="C1784">
        <v>0.63928706800000001</v>
      </c>
      <c r="D1784">
        <v>1.1087476700000001</v>
      </c>
      <c r="E1784">
        <v>1</v>
      </c>
      <c r="F1784">
        <v>24</v>
      </c>
      <c r="G1784">
        <v>16</v>
      </c>
      <c r="H1784">
        <v>0</v>
      </c>
      <c r="I1784">
        <v>1</v>
      </c>
      <c r="J1784">
        <v>39.90497208</v>
      </c>
      <c r="K1784">
        <v>29.471445079999999</v>
      </c>
      <c r="L1784">
        <v>29.471445079999999</v>
      </c>
      <c r="M1784">
        <v>3.3834218979999999</v>
      </c>
      <c r="N1784">
        <v>1</v>
      </c>
      <c r="O1784">
        <v>3.3834218979999999</v>
      </c>
    </row>
    <row r="1785" spans="1:15">
      <c r="A1785">
        <v>0.37338059600000001</v>
      </c>
      <c r="B1785">
        <v>1.016998997</v>
      </c>
      <c r="C1785">
        <v>0.186690298</v>
      </c>
      <c r="D1785">
        <v>0.98532277400000001</v>
      </c>
      <c r="E1785">
        <v>2</v>
      </c>
      <c r="F1785">
        <v>28</v>
      </c>
      <c r="G1785">
        <v>10</v>
      </c>
      <c r="H1785">
        <v>0</v>
      </c>
      <c r="I1785">
        <v>0</v>
      </c>
      <c r="J1785">
        <v>30.52387238</v>
      </c>
      <c r="K1785">
        <v>18.840284350000001</v>
      </c>
      <c r="L1785">
        <v>18.840284350000001</v>
      </c>
      <c r="M1785">
        <v>2.9359972480000001</v>
      </c>
      <c r="N1785">
        <v>1</v>
      </c>
      <c r="O1785">
        <v>2.9359972480000001</v>
      </c>
    </row>
    <row r="1786" spans="1:15">
      <c r="A1786">
        <v>-0.98633402999999997</v>
      </c>
      <c r="B1786">
        <v>-0.72011107100000005</v>
      </c>
      <c r="C1786">
        <v>-0.49316701499999999</v>
      </c>
      <c r="D1786">
        <v>-1.205557081</v>
      </c>
      <c r="E1786">
        <v>3</v>
      </c>
      <c r="F1786">
        <v>38</v>
      </c>
      <c r="G1786">
        <v>12</v>
      </c>
      <c r="H1786">
        <v>1</v>
      </c>
      <c r="I1786">
        <v>1</v>
      </c>
      <c r="J1786">
        <v>19.73331451</v>
      </c>
      <c r="K1786">
        <v>14.681995390000001</v>
      </c>
      <c r="N1786">
        <v>0</v>
      </c>
      <c r="O1786">
        <v>0</v>
      </c>
    </row>
    <row r="1787" spans="1:15">
      <c r="A1787">
        <v>-1.7725497830000001</v>
      </c>
      <c r="B1787">
        <v>-0.49870974499999998</v>
      </c>
      <c r="C1787">
        <v>-0.88627489199999998</v>
      </c>
      <c r="D1787">
        <v>-1.6013162299999999</v>
      </c>
      <c r="E1787">
        <v>4</v>
      </c>
      <c r="F1787">
        <v>45</v>
      </c>
      <c r="G1787">
        <v>12</v>
      </c>
      <c r="H1787">
        <v>1</v>
      </c>
      <c r="I1787">
        <v>1</v>
      </c>
      <c r="J1787">
        <v>17.78420448</v>
      </c>
      <c r="K1787">
        <v>11.364701269999999</v>
      </c>
      <c r="N1787">
        <v>0</v>
      </c>
      <c r="O1787">
        <v>0</v>
      </c>
    </row>
    <row r="1788" spans="1:15">
      <c r="A1788">
        <v>-0.14195389</v>
      </c>
      <c r="B1788">
        <v>0.89963240099999997</v>
      </c>
      <c r="C1788">
        <v>-7.0976945E-2</v>
      </c>
      <c r="D1788">
        <v>0.53939989799999999</v>
      </c>
      <c r="E1788">
        <v>5</v>
      </c>
      <c r="F1788">
        <v>41</v>
      </c>
      <c r="G1788">
        <v>16</v>
      </c>
      <c r="H1788">
        <v>1</v>
      </c>
      <c r="I1788">
        <v>0</v>
      </c>
      <c r="J1788">
        <v>39.872798920000001</v>
      </c>
      <c r="K1788">
        <v>24.348276139999999</v>
      </c>
      <c r="L1788">
        <v>24.348276139999999</v>
      </c>
      <c r="M1788">
        <v>3.192461014</v>
      </c>
      <c r="N1788">
        <v>1</v>
      </c>
      <c r="O1788">
        <v>3.192461014</v>
      </c>
    </row>
    <row r="1789" spans="1:15">
      <c r="A1789">
        <v>1.044638223</v>
      </c>
      <c r="B1789">
        <v>2.8084448000000001E-2</v>
      </c>
      <c r="C1789">
        <v>0.52231911099999995</v>
      </c>
      <c r="D1789">
        <v>0.75483229299999999</v>
      </c>
      <c r="E1789">
        <v>6</v>
      </c>
      <c r="F1789">
        <v>35</v>
      </c>
      <c r="G1789">
        <v>16</v>
      </c>
      <c r="H1789">
        <v>1</v>
      </c>
      <c r="I1789">
        <v>1</v>
      </c>
      <c r="J1789">
        <v>45.05798721</v>
      </c>
      <c r="K1789">
        <v>30.267829899999999</v>
      </c>
      <c r="L1789">
        <v>30.267829899999999</v>
      </c>
      <c r="M1789">
        <v>3.41008544</v>
      </c>
      <c r="N1789">
        <v>1</v>
      </c>
      <c r="O1789">
        <v>3.41008544</v>
      </c>
    </row>
    <row r="1790" spans="1:15">
      <c r="A1790">
        <v>0.19382880699999999</v>
      </c>
      <c r="B1790">
        <v>-1.387884619</v>
      </c>
      <c r="C1790">
        <v>9.6914402999999996E-2</v>
      </c>
      <c r="D1790">
        <v>-0.84984949799999998</v>
      </c>
      <c r="E1790">
        <v>7</v>
      </c>
      <c r="F1790">
        <v>38</v>
      </c>
      <c r="G1790">
        <v>12</v>
      </c>
      <c r="H1790">
        <v>1</v>
      </c>
      <c r="I1790">
        <v>4</v>
      </c>
      <c r="J1790">
        <v>39.00180435</v>
      </c>
      <c r="K1790">
        <v>21.76297379</v>
      </c>
      <c r="L1790">
        <v>21.76297379</v>
      </c>
      <c r="M1790">
        <v>3.0802099699999999</v>
      </c>
      <c r="N1790">
        <v>1</v>
      </c>
      <c r="O1790">
        <v>3.0802099699999999</v>
      </c>
    </row>
    <row r="1791" spans="1:15">
      <c r="A1791">
        <v>0.100611426</v>
      </c>
      <c r="B1791">
        <v>0.79096201399999999</v>
      </c>
      <c r="C1791">
        <v>5.0305713000000002E-2</v>
      </c>
      <c r="D1791">
        <v>0.63281933700000004</v>
      </c>
      <c r="E1791">
        <v>8</v>
      </c>
      <c r="F1791">
        <v>53</v>
      </c>
      <c r="G1791">
        <v>12</v>
      </c>
      <c r="H1791">
        <v>1</v>
      </c>
      <c r="I1791">
        <v>1</v>
      </c>
      <c r="J1791">
        <v>47.793830870000001</v>
      </c>
      <c r="K1791">
        <v>24.203668589999999</v>
      </c>
      <c r="L1791">
        <v>24.203668589999999</v>
      </c>
      <c r="M1791">
        <v>3.186504126</v>
      </c>
      <c r="N1791">
        <v>1</v>
      </c>
      <c r="O1791">
        <v>3.186504126</v>
      </c>
    </row>
    <row r="1792" spans="1:15">
      <c r="A1792">
        <v>0.86361856400000003</v>
      </c>
      <c r="B1792">
        <v>0.329112295</v>
      </c>
      <c r="C1792">
        <v>0.43180928200000002</v>
      </c>
      <c r="D1792">
        <v>0.841394003</v>
      </c>
      <c r="E1792">
        <v>9</v>
      </c>
      <c r="F1792">
        <v>51</v>
      </c>
      <c r="G1792">
        <v>12</v>
      </c>
      <c r="H1792">
        <v>1</v>
      </c>
      <c r="I1792">
        <v>0</v>
      </c>
      <c r="J1792">
        <v>44.496726989999999</v>
      </c>
      <c r="K1792">
        <v>28.381711960000001</v>
      </c>
      <c r="L1792">
        <v>28.381711960000001</v>
      </c>
      <c r="M1792">
        <v>3.3457450870000001</v>
      </c>
      <c r="N1792">
        <v>1</v>
      </c>
      <c r="O1792">
        <v>3.3457450870000001</v>
      </c>
    </row>
    <row r="1793" spans="1:15">
      <c r="A1793">
        <v>1.1239193839999999</v>
      </c>
      <c r="B1793">
        <v>8.7406855000000006E-2</v>
      </c>
      <c r="C1793">
        <v>0.56195969199999996</v>
      </c>
      <c r="D1793">
        <v>0.85275786200000003</v>
      </c>
      <c r="E1793">
        <v>0</v>
      </c>
      <c r="F1793">
        <v>46</v>
      </c>
      <c r="G1793">
        <v>10</v>
      </c>
      <c r="H1793">
        <v>0</v>
      </c>
      <c r="I1793">
        <v>3</v>
      </c>
      <c r="J1793">
        <v>51.133094790000001</v>
      </c>
      <c r="K1793">
        <v>26.943515779999998</v>
      </c>
      <c r="L1793">
        <v>26.943515779999998</v>
      </c>
      <c r="M1793">
        <v>3.2937426570000001</v>
      </c>
      <c r="N1793">
        <v>1</v>
      </c>
      <c r="O1793">
        <v>3.2937426570000001</v>
      </c>
    </row>
    <row r="1794" spans="1:15">
      <c r="A1794">
        <v>-9.2468581999999994E-2</v>
      </c>
      <c r="B1794">
        <v>0.200511567</v>
      </c>
      <c r="C1794">
        <v>-4.6234290999999997E-2</v>
      </c>
      <c r="D1794">
        <v>7.7430249000000007E-2</v>
      </c>
      <c r="E1794">
        <v>1</v>
      </c>
      <c r="F1794">
        <v>25</v>
      </c>
      <c r="G1794">
        <v>12</v>
      </c>
      <c r="H1794">
        <v>0</v>
      </c>
      <c r="I1794">
        <v>1</v>
      </c>
      <c r="J1794">
        <v>24.929162980000001</v>
      </c>
      <c r="K1794">
        <v>17.445188519999999</v>
      </c>
      <c r="N1794">
        <v>0</v>
      </c>
      <c r="O1794">
        <v>0</v>
      </c>
    </row>
    <row r="1795" spans="1:15">
      <c r="A1795">
        <v>-5.6732241000000003E-2</v>
      </c>
      <c r="B1795">
        <v>1.3502509579999999</v>
      </c>
      <c r="C1795">
        <v>-2.8366120000000002E-2</v>
      </c>
      <c r="D1795">
        <v>0.91955166799999999</v>
      </c>
      <c r="E1795">
        <v>2</v>
      </c>
      <c r="F1795">
        <v>24</v>
      </c>
      <c r="G1795">
        <v>10</v>
      </c>
      <c r="H1795">
        <v>1</v>
      </c>
      <c r="I1795">
        <v>1</v>
      </c>
      <c r="J1795">
        <v>38.134620669999997</v>
      </c>
      <c r="K1795">
        <v>15.459606170000001</v>
      </c>
      <c r="L1795">
        <v>15.459606170000001</v>
      </c>
      <c r="M1795">
        <v>2.7382304670000002</v>
      </c>
      <c r="N1795">
        <v>1</v>
      </c>
      <c r="O1795">
        <v>2.7382304670000002</v>
      </c>
    </row>
    <row r="1796" spans="1:15">
      <c r="A1796">
        <v>-0.52347302299999998</v>
      </c>
      <c r="B1796">
        <v>-1.767129508</v>
      </c>
      <c r="C1796">
        <v>-0.26173651199999998</v>
      </c>
      <c r="D1796">
        <v>-1.62393667</v>
      </c>
      <c r="E1796">
        <v>3</v>
      </c>
      <c r="F1796">
        <v>33</v>
      </c>
      <c r="G1796">
        <v>10</v>
      </c>
      <c r="H1796">
        <v>0</v>
      </c>
      <c r="I1796">
        <v>2</v>
      </c>
      <c r="J1796">
        <v>11.21275997</v>
      </c>
      <c r="K1796">
        <v>14.459161760000001</v>
      </c>
      <c r="N1796">
        <v>0</v>
      </c>
      <c r="O1796">
        <v>0</v>
      </c>
    </row>
    <row r="1797" spans="1:15">
      <c r="A1797">
        <v>-0.93697350999999995</v>
      </c>
      <c r="B1797">
        <v>0.212814957</v>
      </c>
      <c r="C1797">
        <v>-0.46848675499999998</v>
      </c>
      <c r="D1797">
        <v>-0.50791464399999997</v>
      </c>
      <c r="E1797">
        <v>4</v>
      </c>
      <c r="F1797">
        <v>29</v>
      </c>
      <c r="G1797">
        <v>16</v>
      </c>
      <c r="H1797">
        <v>1</v>
      </c>
      <c r="I1797">
        <v>2</v>
      </c>
      <c r="J1797">
        <v>32.505023960000003</v>
      </c>
      <c r="K1797">
        <v>17.178159709999999</v>
      </c>
      <c r="L1797">
        <v>17.178159709999999</v>
      </c>
      <c r="M1797">
        <v>2.8436388969999999</v>
      </c>
      <c r="N1797">
        <v>1</v>
      </c>
      <c r="O1797">
        <v>2.8436388969999999</v>
      </c>
    </row>
    <row r="1798" spans="1:15">
      <c r="A1798">
        <v>1.4181503360000001</v>
      </c>
      <c r="B1798">
        <v>0.54131759700000004</v>
      </c>
      <c r="C1798">
        <v>0.70907516800000003</v>
      </c>
      <c r="D1798">
        <v>1.3822816469999999</v>
      </c>
      <c r="E1798">
        <v>5</v>
      </c>
      <c r="F1798">
        <v>40</v>
      </c>
      <c r="G1798">
        <v>16</v>
      </c>
      <c r="H1798">
        <v>1</v>
      </c>
      <c r="I1798">
        <v>1</v>
      </c>
      <c r="J1798">
        <v>54.587379460000001</v>
      </c>
      <c r="K1798">
        <v>33.508903500000002</v>
      </c>
      <c r="L1798">
        <v>33.508903500000002</v>
      </c>
      <c r="M1798">
        <v>3.5118112560000001</v>
      </c>
      <c r="N1798">
        <v>1</v>
      </c>
      <c r="O1798">
        <v>3.5118112560000001</v>
      </c>
    </row>
    <row r="1799" spans="1:15">
      <c r="A1799">
        <v>-0.48564368200000002</v>
      </c>
      <c r="B1799">
        <v>0.132045572</v>
      </c>
      <c r="C1799">
        <v>-0.24282184100000001</v>
      </c>
      <c r="D1799">
        <v>-0.24780886099999999</v>
      </c>
      <c r="E1799">
        <v>6</v>
      </c>
      <c r="F1799">
        <v>50</v>
      </c>
      <c r="G1799">
        <v>10</v>
      </c>
      <c r="H1799">
        <v>0</v>
      </c>
      <c r="I1799">
        <v>1</v>
      </c>
      <c r="J1799">
        <v>29.5262928</v>
      </c>
      <c r="K1799">
        <v>18.086137770000001</v>
      </c>
      <c r="L1799">
        <v>18.086137770000001</v>
      </c>
      <c r="M1799">
        <v>2.895145893</v>
      </c>
      <c r="N1799">
        <v>1</v>
      </c>
      <c r="O1799">
        <v>2.895145893</v>
      </c>
    </row>
    <row r="1800" spans="1:15">
      <c r="A1800">
        <v>1.7262992930000001</v>
      </c>
      <c r="B1800">
        <v>-0.75484102099999995</v>
      </c>
      <c r="C1800">
        <v>0.86314964699999996</v>
      </c>
      <c r="D1800">
        <v>0.678032089</v>
      </c>
      <c r="E1800">
        <v>7</v>
      </c>
      <c r="F1800">
        <v>44</v>
      </c>
      <c r="G1800">
        <v>12</v>
      </c>
      <c r="H1800">
        <v>1</v>
      </c>
      <c r="I1800">
        <v>0</v>
      </c>
      <c r="J1800">
        <v>39.736385349999999</v>
      </c>
      <c r="K1800">
        <v>32.157794950000003</v>
      </c>
      <c r="L1800">
        <v>32.157794950000003</v>
      </c>
      <c r="M1800">
        <v>3.470654964</v>
      </c>
      <c r="N1800">
        <v>1</v>
      </c>
      <c r="O1800">
        <v>3.470654964</v>
      </c>
    </row>
    <row r="1801" spans="1:15">
      <c r="A1801">
        <v>-1.792040818</v>
      </c>
      <c r="B1801">
        <v>1.41650444</v>
      </c>
      <c r="C1801">
        <v>-0.89602040900000002</v>
      </c>
      <c r="D1801">
        <v>-0.254114758</v>
      </c>
      <c r="E1801">
        <v>8</v>
      </c>
      <c r="F1801">
        <v>45</v>
      </c>
      <c r="G1801">
        <v>16</v>
      </c>
      <c r="H1801">
        <v>1</v>
      </c>
      <c r="I1801">
        <v>1</v>
      </c>
      <c r="J1801">
        <v>36.950622559999999</v>
      </c>
      <c r="K1801">
        <v>15.24775505</v>
      </c>
      <c r="L1801">
        <v>15.24775505</v>
      </c>
      <c r="M1801">
        <v>2.7244322300000001</v>
      </c>
      <c r="N1801">
        <v>1</v>
      </c>
      <c r="O1801">
        <v>2.7244322300000001</v>
      </c>
    </row>
    <row r="1802" spans="1:15">
      <c r="A1802">
        <v>-1.337651731</v>
      </c>
      <c r="B1802">
        <v>-0.85909888999999995</v>
      </c>
      <c r="C1802">
        <v>-0.66882586600000005</v>
      </c>
      <c r="D1802">
        <v>-1.551461988</v>
      </c>
      <c r="E1802">
        <v>9</v>
      </c>
      <c r="F1802">
        <v>43</v>
      </c>
      <c r="G1802">
        <v>12</v>
      </c>
      <c r="H1802">
        <v>1</v>
      </c>
      <c r="I1802">
        <v>1</v>
      </c>
      <c r="J1802">
        <v>17.58245659</v>
      </c>
      <c r="K1802">
        <v>13.57409</v>
      </c>
      <c r="N1802">
        <v>0</v>
      </c>
      <c r="O1802">
        <v>0</v>
      </c>
    </row>
    <row r="1803" spans="1:15">
      <c r="A1803">
        <v>1.3490995610000001</v>
      </c>
      <c r="B1803">
        <v>-0.23143962400000001</v>
      </c>
      <c r="C1803">
        <v>0.67454978099999996</v>
      </c>
      <c r="D1803">
        <v>0.78460037500000002</v>
      </c>
      <c r="E1803">
        <v>0</v>
      </c>
      <c r="F1803">
        <v>22</v>
      </c>
      <c r="G1803">
        <v>10</v>
      </c>
      <c r="H1803">
        <v>1</v>
      </c>
      <c r="I1803">
        <v>0</v>
      </c>
      <c r="J1803">
        <v>30.715204239999998</v>
      </c>
      <c r="K1803">
        <v>23.494596479999998</v>
      </c>
      <c r="L1803">
        <v>23.494596479999998</v>
      </c>
      <c r="M1803">
        <v>3.1567704679999999</v>
      </c>
      <c r="N1803">
        <v>1</v>
      </c>
      <c r="O1803">
        <v>3.1567704679999999</v>
      </c>
    </row>
    <row r="1804" spans="1:15">
      <c r="A1804">
        <v>0.159844234</v>
      </c>
      <c r="B1804">
        <v>-0.84688086699999998</v>
      </c>
      <c r="C1804">
        <v>7.9922117000000001E-2</v>
      </c>
      <c r="D1804">
        <v>-0.48933031799999999</v>
      </c>
      <c r="E1804">
        <v>1</v>
      </c>
      <c r="F1804">
        <v>24</v>
      </c>
      <c r="G1804">
        <v>10</v>
      </c>
      <c r="H1804">
        <v>0</v>
      </c>
      <c r="I1804">
        <v>0</v>
      </c>
      <c r="J1804">
        <v>11.228035930000001</v>
      </c>
      <c r="K1804">
        <v>16.759065629999998</v>
      </c>
      <c r="N1804">
        <v>0</v>
      </c>
      <c r="O1804">
        <v>0</v>
      </c>
    </row>
    <row r="1805" spans="1:15">
      <c r="A1805">
        <v>0.95538681599999997</v>
      </c>
      <c r="B1805">
        <v>1.8091217390000001</v>
      </c>
      <c r="C1805">
        <v>0.47769340799999999</v>
      </c>
      <c r="D1805">
        <v>1.957615723</v>
      </c>
      <c r="E1805">
        <v>2</v>
      </c>
      <c r="F1805">
        <v>34</v>
      </c>
      <c r="G1805">
        <v>12</v>
      </c>
      <c r="H1805">
        <v>0</v>
      </c>
      <c r="I1805">
        <v>1</v>
      </c>
      <c r="J1805">
        <v>51.091388700000003</v>
      </c>
      <c r="K1805">
        <v>25.53232002</v>
      </c>
      <c r="L1805">
        <v>25.53232002</v>
      </c>
      <c r="M1805">
        <v>3.2399451730000002</v>
      </c>
      <c r="N1805">
        <v>1</v>
      </c>
      <c r="O1805">
        <v>3.2399451730000002</v>
      </c>
    </row>
    <row r="1806" spans="1:15">
      <c r="A1806">
        <v>1.2284685849999999</v>
      </c>
      <c r="B1806">
        <v>-0.49571696500000001</v>
      </c>
      <c r="C1806">
        <v>0.61423429200000002</v>
      </c>
      <c r="D1806">
        <v>0.5119494</v>
      </c>
      <c r="E1806">
        <v>3</v>
      </c>
      <c r="F1806">
        <v>26</v>
      </c>
      <c r="G1806">
        <v>10</v>
      </c>
      <c r="H1806">
        <v>1</v>
      </c>
      <c r="I1806">
        <v>3</v>
      </c>
      <c r="J1806">
        <v>44.043392179999998</v>
      </c>
      <c r="K1806">
        <v>23.570812230000001</v>
      </c>
      <c r="L1806">
        <v>23.570812230000001</v>
      </c>
      <c r="M1806">
        <v>3.1600091460000002</v>
      </c>
      <c r="N1806">
        <v>1</v>
      </c>
      <c r="O1806">
        <v>3.1600091460000002</v>
      </c>
    </row>
    <row r="1807" spans="1:15">
      <c r="A1807">
        <v>3.8044903999999997E-2</v>
      </c>
      <c r="B1807">
        <v>0.59373705799999998</v>
      </c>
      <c r="C1807">
        <v>1.9022451999999999E-2</v>
      </c>
      <c r="D1807">
        <v>0.44866129199999999</v>
      </c>
      <c r="E1807">
        <v>4</v>
      </c>
      <c r="F1807">
        <v>29</v>
      </c>
      <c r="G1807">
        <v>12</v>
      </c>
      <c r="H1807">
        <v>1</v>
      </c>
      <c r="I1807">
        <v>4</v>
      </c>
      <c r="J1807">
        <v>50.983936309999997</v>
      </c>
      <c r="K1807">
        <v>19.02826881</v>
      </c>
      <c r="L1807">
        <v>19.02826881</v>
      </c>
      <c r="M1807">
        <v>2.9459257129999998</v>
      </c>
      <c r="N1807">
        <v>1</v>
      </c>
      <c r="O1807">
        <v>2.9459257129999998</v>
      </c>
    </row>
    <row r="1808" spans="1:15">
      <c r="A1808">
        <v>0.58975997899999999</v>
      </c>
      <c r="B1808">
        <v>0.72683106799999997</v>
      </c>
      <c r="C1808">
        <v>0.29487998999999998</v>
      </c>
      <c r="D1808">
        <v>0.93135256</v>
      </c>
      <c r="E1808">
        <v>5</v>
      </c>
      <c r="F1808">
        <v>34</v>
      </c>
      <c r="G1808">
        <v>12</v>
      </c>
      <c r="H1808">
        <v>0</v>
      </c>
      <c r="I1808">
        <v>2</v>
      </c>
      <c r="J1808">
        <v>43.776229860000001</v>
      </c>
      <c r="K1808">
        <v>23.338560099999999</v>
      </c>
      <c r="L1808">
        <v>23.338560099999999</v>
      </c>
      <c r="M1808">
        <v>3.1501069070000001</v>
      </c>
      <c r="N1808">
        <v>1</v>
      </c>
      <c r="O1808">
        <v>3.1501069070000001</v>
      </c>
    </row>
    <row r="1809" spans="1:15">
      <c r="A1809">
        <v>1.1324677999999999</v>
      </c>
      <c r="B1809">
        <v>-0.478042615</v>
      </c>
      <c r="C1809">
        <v>0.56623389999999996</v>
      </c>
      <c r="D1809">
        <v>0.45697436400000002</v>
      </c>
      <c r="E1809">
        <v>6</v>
      </c>
      <c r="F1809">
        <v>49</v>
      </c>
      <c r="G1809">
        <v>10</v>
      </c>
      <c r="H1809">
        <v>1</v>
      </c>
      <c r="I1809">
        <v>4</v>
      </c>
      <c r="J1809">
        <v>57.58369064</v>
      </c>
      <c r="K1809">
        <v>27.594806670000001</v>
      </c>
      <c r="L1809">
        <v>27.594806670000001</v>
      </c>
      <c r="M1809">
        <v>3.3176276680000001</v>
      </c>
      <c r="N1809">
        <v>1</v>
      </c>
      <c r="O1809">
        <v>3.3176276680000001</v>
      </c>
    </row>
    <row r="1810" spans="1:15">
      <c r="A1810">
        <v>-0.58979664200000004</v>
      </c>
      <c r="B1810">
        <v>0.98847684599999996</v>
      </c>
      <c r="C1810">
        <v>-0.29489832100000002</v>
      </c>
      <c r="D1810">
        <v>0.28748516000000002</v>
      </c>
      <c r="E1810">
        <v>7</v>
      </c>
      <c r="F1810">
        <v>39</v>
      </c>
      <c r="G1810">
        <v>12</v>
      </c>
      <c r="H1810">
        <v>1</v>
      </c>
      <c r="I1810">
        <v>3</v>
      </c>
      <c r="J1810">
        <v>48.049823760000002</v>
      </c>
      <c r="K1810">
        <v>17.26122093</v>
      </c>
      <c r="L1810">
        <v>17.26122093</v>
      </c>
      <c r="M1810">
        <v>2.848462343</v>
      </c>
      <c r="N1810">
        <v>1</v>
      </c>
      <c r="O1810">
        <v>2.848462343</v>
      </c>
    </row>
    <row r="1811" spans="1:15">
      <c r="A1811">
        <v>-1.761829139</v>
      </c>
      <c r="B1811">
        <v>-8.1688601999999999E-2</v>
      </c>
      <c r="C1811">
        <v>-0.88091456899999998</v>
      </c>
      <c r="D1811">
        <v>-1.297447646</v>
      </c>
      <c r="E1811">
        <v>8</v>
      </c>
      <c r="F1811">
        <v>36</v>
      </c>
      <c r="G1811">
        <v>16</v>
      </c>
      <c r="H1811">
        <v>1</v>
      </c>
      <c r="I1811">
        <v>1</v>
      </c>
      <c r="J1811">
        <v>20.830627440000001</v>
      </c>
      <c r="K1811">
        <v>13.629025459999999</v>
      </c>
      <c r="N1811">
        <v>0</v>
      </c>
      <c r="O1811">
        <v>0</v>
      </c>
    </row>
    <row r="1812" spans="1:15">
      <c r="A1812">
        <v>0.29481389099999999</v>
      </c>
      <c r="B1812">
        <v>-0.90130575999999996</v>
      </c>
      <c r="C1812">
        <v>0.14740694600000001</v>
      </c>
      <c r="D1812">
        <v>-0.433055886</v>
      </c>
      <c r="E1812">
        <v>9</v>
      </c>
      <c r="F1812">
        <v>42</v>
      </c>
      <c r="G1812">
        <v>12</v>
      </c>
      <c r="H1812">
        <v>1</v>
      </c>
      <c r="I1812">
        <v>3</v>
      </c>
      <c r="J1812">
        <v>40.603328699999999</v>
      </c>
      <c r="K1812">
        <v>23.16888428</v>
      </c>
      <c r="L1812">
        <v>23.16888428</v>
      </c>
      <c r="M1812">
        <v>3.1428101060000002</v>
      </c>
      <c r="N1812">
        <v>1</v>
      </c>
      <c r="O1812">
        <v>3.1428101060000002</v>
      </c>
    </row>
    <row r="1813" spans="1:15">
      <c r="A1813">
        <v>-9.7147542000000003E-2</v>
      </c>
      <c r="B1813">
        <v>0.19812300799999999</v>
      </c>
      <c r="C1813">
        <v>-4.8573771000000002E-2</v>
      </c>
      <c r="D1813">
        <v>7.2441459E-2</v>
      </c>
      <c r="E1813">
        <v>0</v>
      </c>
      <c r="F1813">
        <v>32</v>
      </c>
      <c r="G1813">
        <v>10</v>
      </c>
      <c r="H1813">
        <v>0</v>
      </c>
      <c r="I1813">
        <v>3</v>
      </c>
      <c r="J1813">
        <v>36.169296260000003</v>
      </c>
      <c r="K1813">
        <v>16.817113880000001</v>
      </c>
      <c r="L1813">
        <v>16.817113880000001</v>
      </c>
      <c r="M1813">
        <v>2.822396994</v>
      </c>
      <c r="N1813">
        <v>1</v>
      </c>
      <c r="O1813">
        <v>2.822396994</v>
      </c>
    </row>
    <row r="1814" spans="1:15">
      <c r="A1814">
        <v>-1.803523942</v>
      </c>
      <c r="B1814">
        <v>-1.53428473</v>
      </c>
      <c r="C1814">
        <v>-0.901761971</v>
      </c>
      <c r="D1814">
        <v>-2.3589646329999998</v>
      </c>
      <c r="E1814">
        <v>1</v>
      </c>
      <c r="F1814">
        <v>26</v>
      </c>
      <c r="G1814">
        <v>10</v>
      </c>
      <c r="H1814">
        <v>0</v>
      </c>
      <c r="I1814">
        <v>2</v>
      </c>
      <c r="J1814">
        <v>-0.40757557700000002</v>
      </c>
      <c r="K1814">
        <v>5.3788561819999998</v>
      </c>
      <c r="N1814">
        <v>0</v>
      </c>
      <c r="O1814">
        <v>0</v>
      </c>
    </row>
    <row r="1815" spans="1:15">
      <c r="A1815">
        <v>-0.116270475</v>
      </c>
      <c r="B1815">
        <v>0.96499225399999999</v>
      </c>
      <c r="C1815">
        <v>-5.8135237999999999E-2</v>
      </c>
      <c r="D1815">
        <v>0.60391092300000004</v>
      </c>
      <c r="E1815">
        <v>2</v>
      </c>
      <c r="F1815">
        <v>25</v>
      </c>
      <c r="G1815">
        <v>10</v>
      </c>
      <c r="H1815">
        <v>0</v>
      </c>
      <c r="I1815">
        <v>2</v>
      </c>
      <c r="J1815">
        <v>34.746929170000001</v>
      </c>
      <c r="K1815">
        <v>15.302376750000001</v>
      </c>
      <c r="L1815">
        <v>15.302376750000001</v>
      </c>
      <c r="M1815">
        <v>2.7280082700000001</v>
      </c>
      <c r="N1815">
        <v>1</v>
      </c>
      <c r="O1815">
        <v>2.7280082700000001</v>
      </c>
    </row>
    <row r="1816" spans="1:15">
      <c r="A1816">
        <v>0.48343114199999998</v>
      </c>
      <c r="B1816">
        <v>0.35695000999999998</v>
      </c>
      <c r="C1816">
        <v>0.24171557099999999</v>
      </c>
      <c r="D1816">
        <v>0.59372288100000004</v>
      </c>
      <c r="E1816">
        <v>3</v>
      </c>
      <c r="F1816">
        <v>32</v>
      </c>
      <c r="G1816">
        <v>12</v>
      </c>
      <c r="H1816">
        <v>1</v>
      </c>
      <c r="I1816">
        <v>4</v>
      </c>
      <c r="J1816">
        <v>53.92467499</v>
      </c>
      <c r="K1816">
        <v>22.3005867</v>
      </c>
      <c r="L1816">
        <v>22.3005867</v>
      </c>
      <c r="M1816">
        <v>3.1046130660000002</v>
      </c>
      <c r="N1816">
        <v>1</v>
      </c>
      <c r="O1816">
        <v>3.1046130660000002</v>
      </c>
    </row>
    <row r="1817" spans="1:15">
      <c r="A1817">
        <v>-1.158835823</v>
      </c>
      <c r="B1817">
        <v>0.36466821999999999</v>
      </c>
      <c r="C1817">
        <v>-0.57941791099999995</v>
      </c>
      <c r="D1817">
        <v>-0.55608516600000002</v>
      </c>
      <c r="E1817">
        <v>4</v>
      </c>
      <c r="F1817">
        <v>29</v>
      </c>
      <c r="G1817">
        <v>10</v>
      </c>
      <c r="H1817">
        <v>1</v>
      </c>
      <c r="I1817">
        <v>2</v>
      </c>
      <c r="J1817">
        <v>27.42697716</v>
      </c>
      <c r="K1817">
        <v>9.8469848629999994</v>
      </c>
      <c r="N1817">
        <v>0</v>
      </c>
      <c r="O1817">
        <v>0</v>
      </c>
    </row>
    <row r="1818" spans="1:15">
      <c r="A1818">
        <v>0.289420911</v>
      </c>
      <c r="B1818">
        <v>0.32045799600000002</v>
      </c>
      <c r="C1818">
        <v>0.14471045599999999</v>
      </c>
      <c r="D1818">
        <v>0.43131119200000001</v>
      </c>
      <c r="E1818">
        <v>5</v>
      </c>
      <c r="F1818">
        <v>37</v>
      </c>
      <c r="G1818">
        <v>16</v>
      </c>
      <c r="H1818">
        <v>1</v>
      </c>
      <c r="I1818">
        <v>0</v>
      </c>
      <c r="J1818">
        <v>36.975734709999998</v>
      </c>
      <c r="K1818">
        <v>26.136526109999998</v>
      </c>
      <c r="L1818">
        <v>26.136526109999998</v>
      </c>
      <c r="M1818">
        <v>3.263333797</v>
      </c>
      <c r="N1818">
        <v>1</v>
      </c>
      <c r="O1818">
        <v>3.263333797</v>
      </c>
    </row>
    <row r="1819" spans="1:15">
      <c r="A1819">
        <v>0.19809091600000001</v>
      </c>
      <c r="B1819">
        <v>-1.5151261380000001</v>
      </c>
      <c r="C1819">
        <v>9.9045458000000003E-2</v>
      </c>
      <c r="D1819">
        <v>-0.93726649299999998</v>
      </c>
      <c r="E1819">
        <v>6</v>
      </c>
      <c r="F1819">
        <v>34</v>
      </c>
      <c r="G1819">
        <v>16</v>
      </c>
      <c r="H1819">
        <v>1</v>
      </c>
      <c r="I1819">
        <v>1</v>
      </c>
      <c r="J1819">
        <v>24.352802279999999</v>
      </c>
      <c r="K1819">
        <v>24.988546370000002</v>
      </c>
      <c r="N1819">
        <v>0</v>
      </c>
      <c r="O1819">
        <v>0</v>
      </c>
    </row>
    <row r="1820" spans="1:15">
      <c r="A1820">
        <v>-1.143312149</v>
      </c>
      <c r="B1820">
        <v>-1.2568979410000001</v>
      </c>
      <c r="C1820">
        <v>-0.57165607500000004</v>
      </c>
      <c r="D1820">
        <v>-1.6974171570000001</v>
      </c>
      <c r="E1820">
        <v>7</v>
      </c>
      <c r="F1820">
        <v>41</v>
      </c>
      <c r="G1820">
        <v>12</v>
      </c>
      <c r="H1820">
        <v>1</v>
      </c>
      <c r="I1820">
        <v>3</v>
      </c>
      <c r="J1820">
        <v>25.030994419999999</v>
      </c>
      <c r="K1820">
        <v>14.34012699</v>
      </c>
      <c r="N1820">
        <v>0</v>
      </c>
      <c r="O1820">
        <v>0</v>
      </c>
    </row>
    <row r="1821" spans="1:15">
      <c r="A1821">
        <v>-1.411112897</v>
      </c>
      <c r="B1821">
        <v>0.746714604</v>
      </c>
      <c r="C1821">
        <v>-0.70555644900000003</v>
      </c>
      <c r="D1821">
        <v>-0.46208105900000002</v>
      </c>
      <c r="E1821">
        <v>8</v>
      </c>
      <c r="F1821">
        <v>52</v>
      </c>
      <c r="G1821">
        <v>16</v>
      </c>
      <c r="H1821">
        <v>1</v>
      </c>
      <c r="I1821">
        <v>2</v>
      </c>
      <c r="J1821">
        <v>42.255027769999998</v>
      </c>
      <c r="K1821">
        <v>18.933322910000001</v>
      </c>
      <c r="L1821">
        <v>18.933322910000001</v>
      </c>
      <c r="M1821">
        <v>2.9409234519999998</v>
      </c>
      <c r="N1821">
        <v>1</v>
      </c>
      <c r="O1821">
        <v>2.9409234519999998</v>
      </c>
    </row>
    <row r="1822" spans="1:15">
      <c r="A1822">
        <v>-1.188087919</v>
      </c>
      <c r="B1822">
        <v>1.0857710039999999</v>
      </c>
      <c r="C1822">
        <v>-0.59404395899999995</v>
      </c>
      <c r="D1822">
        <v>-6.4262039000000007E-2</v>
      </c>
      <c r="E1822">
        <v>9</v>
      </c>
      <c r="F1822">
        <v>38</v>
      </c>
      <c r="G1822">
        <v>12</v>
      </c>
      <c r="H1822">
        <v>1</v>
      </c>
      <c r="I1822">
        <v>1</v>
      </c>
      <c r="J1822">
        <v>33.428855900000002</v>
      </c>
      <c r="K1822">
        <v>13.471472739999999</v>
      </c>
      <c r="L1822">
        <v>13.471472739999999</v>
      </c>
      <c r="M1822">
        <v>2.6005742550000002</v>
      </c>
      <c r="N1822">
        <v>1</v>
      </c>
      <c r="O1822">
        <v>2.6005742550000002</v>
      </c>
    </row>
    <row r="1823" spans="1:15">
      <c r="A1823">
        <v>-0.712261382</v>
      </c>
      <c r="B1823">
        <v>0.37043273399999999</v>
      </c>
      <c r="C1823">
        <v>-0.356130691</v>
      </c>
      <c r="D1823">
        <v>-0.23783541699999999</v>
      </c>
      <c r="E1823">
        <v>0</v>
      </c>
      <c r="F1823">
        <v>22</v>
      </c>
      <c r="G1823">
        <v>12</v>
      </c>
      <c r="H1823">
        <v>1</v>
      </c>
      <c r="I1823">
        <v>2</v>
      </c>
      <c r="J1823">
        <v>29.94597435</v>
      </c>
      <c r="K1823">
        <v>13.12643147</v>
      </c>
      <c r="L1823">
        <v>13.12643147</v>
      </c>
      <c r="M1823">
        <v>2.5746278760000001</v>
      </c>
      <c r="N1823">
        <v>1</v>
      </c>
      <c r="O1823">
        <v>2.5746278760000001</v>
      </c>
    </row>
    <row r="1824" spans="1:15">
      <c r="A1824">
        <v>1.6637431220000001</v>
      </c>
      <c r="B1824">
        <v>1.663743092</v>
      </c>
      <c r="C1824">
        <v>0.83187156100000004</v>
      </c>
      <c r="D1824">
        <v>2.3526229540000001</v>
      </c>
      <c r="E1824">
        <v>1</v>
      </c>
      <c r="F1824">
        <v>34</v>
      </c>
      <c r="G1824">
        <v>10</v>
      </c>
      <c r="H1824">
        <v>1</v>
      </c>
      <c r="I1824">
        <v>0</v>
      </c>
      <c r="J1824">
        <v>54.331474299999996</v>
      </c>
      <c r="K1824">
        <v>27.78245926</v>
      </c>
      <c r="L1824">
        <v>27.78245926</v>
      </c>
      <c r="M1824">
        <v>3.3244049549999999</v>
      </c>
      <c r="N1824">
        <v>1</v>
      </c>
      <c r="O1824">
        <v>3.3244049549999999</v>
      </c>
    </row>
    <row r="1825" spans="1:15">
      <c r="A1825">
        <v>0.283701119</v>
      </c>
      <c r="B1825">
        <v>-0.93064598799999998</v>
      </c>
      <c r="C1825">
        <v>0.14185055999999999</v>
      </c>
      <c r="D1825">
        <v>-0.46172201400000001</v>
      </c>
      <c r="E1825">
        <v>2</v>
      </c>
      <c r="F1825">
        <v>45</v>
      </c>
      <c r="G1825">
        <v>16</v>
      </c>
      <c r="H1825">
        <v>1</v>
      </c>
      <c r="I1825">
        <v>2</v>
      </c>
      <c r="J1825">
        <v>39.459335330000002</v>
      </c>
      <c r="K1825">
        <v>27.702207569999999</v>
      </c>
      <c r="L1825">
        <v>27.702207569999999</v>
      </c>
      <c r="M1825">
        <v>3.321512222</v>
      </c>
      <c r="N1825">
        <v>1</v>
      </c>
      <c r="O1825">
        <v>3.321512222</v>
      </c>
    </row>
    <row r="1826" spans="1:15">
      <c r="A1826">
        <v>0.31938287500000001</v>
      </c>
      <c r="B1826">
        <v>-0.21095264</v>
      </c>
      <c r="C1826">
        <v>0.15969143699999999</v>
      </c>
      <c r="D1826">
        <v>7.4778886000000003E-2</v>
      </c>
      <c r="E1826">
        <v>3</v>
      </c>
      <c r="F1826">
        <v>31</v>
      </c>
      <c r="G1826">
        <v>12</v>
      </c>
      <c r="H1826">
        <v>1</v>
      </c>
      <c r="I1826">
        <v>0</v>
      </c>
      <c r="J1826">
        <v>27.29734612</v>
      </c>
      <c r="K1826">
        <v>21.116296770000002</v>
      </c>
      <c r="N1826">
        <v>0</v>
      </c>
      <c r="O1826">
        <v>0</v>
      </c>
    </row>
    <row r="1827" spans="1:15">
      <c r="A1827">
        <v>2.1296978050000002</v>
      </c>
      <c r="B1827">
        <v>-0.53543721700000002</v>
      </c>
      <c r="C1827">
        <v>1.064848902</v>
      </c>
      <c r="D1827">
        <v>1.1177164939999999</v>
      </c>
      <c r="E1827">
        <v>4</v>
      </c>
      <c r="F1827">
        <v>50</v>
      </c>
      <c r="G1827">
        <v>12</v>
      </c>
      <c r="H1827">
        <v>1</v>
      </c>
      <c r="I1827">
        <v>1</v>
      </c>
      <c r="J1827">
        <v>52.412597660000003</v>
      </c>
      <c r="K1827">
        <v>35.7781868</v>
      </c>
      <c r="L1827">
        <v>35.7781868</v>
      </c>
      <c r="M1827">
        <v>3.5773384570000002</v>
      </c>
      <c r="N1827">
        <v>1</v>
      </c>
      <c r="O1827">
        <v>3.5773384570000002</v>
      </c>
    </row>
    <row r="1828" spans="1:15">
      <c r="A1828">
        <v>2.100005903</v>
      </c>
      <c r="B1828">
        <v>0.61527783899999999</v>
      </c>
      <c r="C1828">
        <v>1.050002951</v>
      </c>
      <c r="D1828">
        <v>1.914504121</v>
      </c>
      <c r="E1828">
        <v>5</v>
      </c>
      <c r="F1828">
        <v>36</v>
      </c>
      <c r="G1828">
        <v>16</v>
      </c>
      <c r="H1828">
        <v>1</v>
      </c>
      <c r="I1828">
        <v>2</v>
      </c>
      <c r="J1828">
        <v>64.374046329999999</v>
      </c>
      <c r="K1828">
        <v>36.800033569999997</v>
      </c>
      <c r="L1828">
        <v>36.800033569999997</v>
      </c>
      <c r="M1828">
        <v>3.605498791</v>
      </c>
      <c r="N1828">
        <v>1</v>
      </c>
      <c r="O1828">
        <v>3.605498791</v>
      </c>
    </row>
    <row r="1829" spans="1:15">
      <c r="A1829">
        <v>0.18903672799999999</v>
      </c>
      <c r="B1829">
        <v>-0.31232038299999998</v>
      </c>
      <c r="C1829">
        <v>9.4518363999999994E-2</v>
      </c>
      <c r="D1829">
        <v>-8.8946156999999998E-2</v>
      </c>
      <c r="E1829">
        <v>6</v>
      </c>
      <c r="F1829">
        <v>34</v>
      </c>
      <c r="G1829">
        <v>16</v>
      </c>
      <c r="H1829">
        <v>1</v>
      </c>
      <c r="I1829">
        <v>1</v>
      </c>
      <c r="J1829">
        <v>34.53264618</v>
      </c>
      <c r="K1829">
        <v>24.934221269999998</v>
      </c>
      <c r="L1829">
        <v>24.934221269999998</v>
      </c>
      <c r="M1829">
        <v>3.2162411209999999</v>
      </c>
      <c r="N1829">
        <v>1</v>
      </c>
      <c r="O1829">
        <v>3.2162411209999999</v>
      </c>
    </row>
    <row r="1830" spans="1:15">
      <c r="A1830">
        <v>-1.094194935</v>
      </c>
      <c r="B1830">
        <v>2.0541623640000002</v>
      </c>
      <c r="C1830">
        <v>-0.54709746699999995</v>
      </c>
      <c r="D1830">
        <v>0.68990879400000005</v>
      </c>
      <c r="E1830">
        <v>7</v>
      </c>
      <c r="F1830">
        <v>37</v>
      </c>
      <c r="G1830">
        <v>16</v>
      </c>
      <c r="H1830">
        <v>1</v>
      </c>
      <c r="I1830">
        <v>3</v>
      </c>
      <c r="J1830">
        <v>55.078907010000002</v>
      </c>
      <c r="K1830">
        <v>17.83483124</v>
      </c>
      <c r="L1830">
        <v>17.83483124</v>
      </c>
      <c r="M1830">
        <v>2.881153345</v>
      </c>
      <c r="N1830">
        <v>1</v>
      </c>
      <c r="O1830">
        <v>2.881153345</v>
      </c>
    </row>
    <row r="1831" spans="1:15">
      <c r="A1831">
        <v>-1.069352332</v>
      </c>
      <c r="B1831">
        <v>1.1023921779999999</v>
      </c>
      <c r="C1831">
        <v>-0.53467616600000001</v>
      </c>
      <c r="D1831">
        <v>3.1076058E-2</v>
      </c>
      <c r="E1831">
        <v>8</v>
      </c>
      <c r="F1831">
        <v>44</v>
      </c>
      <c r="G1831">
        <v>16</v>
      </c>
      <c r="H1831">
        <v>1</v>
      </c>
      <c r="I1831">
        <v>0</v>
      </c>
      <c r="J1831">
        <v>34.972911830000001</v>
      </c>
      <c r="K1831">
        <v>19.38388634</v>
      </c>
      <c r="L1831">
        <v>19.38388634</v>
      </c>
      <c r="M1831">
        <v>2.9644420149999999</v>
      </c>
      <c r="N1831">
        <v>1</v>
      </c>
      <c r="O1831">
        <v>2.9644420149999999</v>
      </c>
    </row>
    <row r="1832" spans="1:15">
      <c r="A1832">
        <v>-2.0365071110000001</v>
      </c>
      <c r="B1832">
        <v>0.724257967</v>
      </c>
      <c r="C1832">
        <v>-1.0182535559999999</v>
      </c>
      <c r="D1832">
        <v>-0.91798699500000003</v>
      </c>
      <c r="E1832">
        <v>9</v>
      </c>
      <c r="F1832">
        <v>47</v>
      </c>
      <c r="G1832">
        <v>16</v>
      </c>
      <c r="H1832">
        <v>1</v>
      </c>
      <c r="I1832">
        <v>4</v>
      </c>
      <c r="J1832">
        <v>44.784156799999998</v>
      </c>
      <c r="K1832">
        <v>14.180957790000001</v>
      </c>
      <c r="L1832">
        <v>14.180957790000001</v>
      </c>
      <c r="M1832">
        <v>2.6519000529999999</v>
      </c>
      <c r="N1832">
        <v>1</v>
      </c>
      <c r="O1832">
        <v>2.6519000529999999</v>
      </c>
    </row>
    <row r="1833" spans="1:15">
      <c r="A1833">
        <v>4.6790120999999997E-2</v>
      </c>
      <c r="B1833">
        <v>0.24636603000000001</v>
      </c>
      <c r="C1833">
        <v>2.3395061000000002E-2</v>
      </c>
      <c r="D1833">
        <v>0.207978419</v>
      </c>
      <c r="E1833">
        <v>0</v>
      </c>
      <c r="F1833">
        <v>36</v>
      </c>
      <c r="G1833">
        <v>10</v>
      </c>
      <c r="H1833">
        <v>0</v>
      </c>
      <c r="I1833">
        <v>0</v>
      </c>
      <c r="J1833">
        <v>24.39574051</v>
      </c>
      <c r="K1833">
        <v>18.480741500000001</v>
      </c>
      <c r="N1833">
        <v>0</v>
      </c>
      <c r="O1833">
        <v>0</v>
      </c>
    </row>
    <row r="1834" spans="1:15">
      <c r="A1834">
        <v>0.24385310399999999</v>
      </c>
      <c r="B1834">
        <v>-0.64008377000000005</v>
      </c>
      <c r="C1834">
        <v>0.12192655199999999</v>
      </c>
      <c r="D1834">
        <v>-0.28328636099999999</v>
      </c>
      <c r="E1834">
        <v>1</v>
      </c>
      <c r="F1834">
        <v>25</v>
      </c>
      <c r="G1834">
        <v>10</v>
      </c>
      <c r="H1834">
        <v>0</v>
      </c>
      <c r="I1834">
        <v>3</v>
      </c>
      <c r="J1834">
        <v>29.100563050000002</v>
      </c>
      <c r="K1834">
        <v>17.463119509999999</v>
      </c>
      <c r="N1834">
        <v>0</v>
      </c>
      <c r="O1834">
        <v>0</v>
      </c>
    </row>
    <row r="1835" spans="1:15">
      <c r="A1835">
        <v>-3.7485042000000003E-2</v>
      </c>
      <c r="B1835">
        <v>0.43668884299999999</v>
      </c>
      <c r="C1835">
        <v>-1.8742521000000002E-2</v>
      </c>
      <c r="D1835">
        <v>0.28393260100000001</v>
      </c>
      <c r="E1835">
        <v>2</v>
      </c>
      <c r="F1835">
        <v>34</v>
      </c>
      <c r="G1835">
        <v>10</v>
      </c>
      <c r="H1835">
        <v>0</v>
      </c>
      <c r="I1835">
        <v>2</v>
      </c>
      <c r="J1835">
        <v>34.507190700000002</v>
      </c>
      <c r="K1835">
        <v>17.575090410000001</v>
      </c>
      <c r="L1835">
        <v>17.575090410000001</v>
      </c>
      <c r="M1835">
        <v>2.8664824960000002</v>
      </c>
      <c r="N1835">
        <v>1</v>
      </c>
      <c r="O1835">
        <v>2.8664824960000002</v>
      </c>
    </row>
    <row r="1836" spans="1:15">
      <c r="A1836">
        <v>-0.22948906199999999</v>
      </c>
      <c r="B1836">
        <v>6.9489577999999996E-2</v>
      </c>
      <c r="C1836">
        <v>-0.114744531</v>
      </c>
      <c r="D1836">
        <v>-0.112061731</v>
      </c>
      <c r="E1836">
        <v>3</v>
      </c>
      <c r="F1836">
        <v>50</v>
      </c>
      <c r="G1836">
        <v>20</v>
      </c>
      <c r="H1836">
        <v>1</v>
      </c>
      <c r="I1836">
        <v>0</v>
      </c>
      <c r="J1836">
        <v>38.655258179999997</v>
      </c>
      <c r="K1836">
        <v>29.623065950000001</v>
      </c>
      <c r="L1836">
        <v>29.623065950000001</v>
      </c>
      <c r="M1836">
        <v>3.3885533809999999</v>
      </c>
      <c r="N1836">
        <v>1</v>
      </c>
      <c r="O1836">
        <v>3.3885533809999999</v>
      </c>
    </row>
    <row r="1837" spans="1:15">
      <c r="A1837">
        <v>-0.93931989299999996</v>
      </c>
      <c r="B1837">
        <v>-0.26407590800000003</v>
      </c>
      <c r="C1837">
        <v>-0.46965994599999999</v>
      </c>
      <c r="D1837">
        <v>-0.84843437799999999</v>
      </c>
      <c r="E1837">
        <v>4</v>
      </c>
      <c r="F1837">
        <v>29</v>
      </c>
      <c r="G1837">
        <v>20</v>
      </c>
      <c r="H1837">
        <v>0</v>
      </c>
      <c r="I1837">
        <v>1</v>
      </c>
      <c r="J1837">
        <v>21.418786999999998</v>
      </c>
      <c r="K1837">
        <v>21.16408157</v>
      </c>
      <c r="N1837">
        <v>0</v>
      </c>
      <c r="O1837">
        <v>0</v>
      </c>
    </row>
    <row r="1838" spans="1:15">
      <c r="A1838">
        <v>-0.79865519200000001</v>
      </c>
      <c r="B1838">
        <v>-0.25280884300000001</v>
      </c>
      <c r="C1838">
        <v>-0.39932759600000001</v>
      </c>
      <c r="D1838">
        <v>-0.74147423800000001</v>
      </c>
      <c r="E1838">
        <v>5</v>
      </c>
      <c r="F1838">
        <v>30</v>
      </c>
      <c r="G1838">
        <v>16</v>
      </c>
      <c r="H1838">
        <v>1</v>
      </c>
      <c r="I1838">
        <v>1</v>
      </c>
      <c r="J1838">
        <v>25.102308270000002</v>
      </c>
      <c r="K1838">
        <v>18.20806885</v>
      </c>
      <c r="N1838">
        <v>0</v>
      </c>
      <c r="O1838">
        <v>0</v>
      </c>
    </row>
    <row r="1839" spans="1:15">
      <c r="A1839">
        <v>-3.1039108999999999E-2</v>
      </c>
      <c r="B1839">
        <v>-0.25421988099999998</v>
      </c>
      <c r="C1839">
        <v>-1.5519554E-2</v>
      </c>
      <c r="D1839">
        <v>-0.202478778</v>
      </c>
      <c r="E1839">
        <v>6</v>
      </c>
      <c r="F1839">
        <v>37</v>
      </c>
      <c r="G1839">
        <v>12</v>
      </c>
      <c r="H1839">
        <v>1</v>
      </c>
      <c r="I1839">
        <v>1</v>
      </c>
      <c r="J1839">
        <v>31.37025452</v>
      </c>
      <c r="K1839">
        <v>20.213766100000001</v>
      </c>
      <c r="L1839">
        <v>20.213766100000001</v>
      </c>
      <c r="M1839">
        <v>3.0063638689999999</v>
      </c>
      <c r="N1839">
        <v>1</v>
      </c>
      <c r="O1839">
        <v>3.0063638689999999</v>
      </c>
    </row>
    <row r="1840" spans="1:15">
      <c r="A1840">
        <v>1.520453705</v>
      </c>
      <c r="B1840">
        <v>-0.51047666400000002</v>
      </c>
      <c r="C1840">
        <v>0.76022685300000004</v>
      </c>
      <c r="D1840">
        <v>0.706865454</v>
      </c>
      <c r="E1840">
        <v>7</v>
      </c>
      <c r="F1840">
        <v>35</v>
      </c>
      <c r="G1840">
        <v>16</v>
      </c>
      <c r="H1840">
        <v>1</v>
      </c>
      <c r="I1840">
        <v>1</v>
      </c>
      <c r="J1840">
        <v>44.482383730000002</v>
      </c>
      <c r="K1840">
        <v>33.122722629999998</v>
      </c>
      <c r="L1840">
        <v>33.122722629999998</v>
      </c>
      <c r="M1840">
        <v>3.5002195839999999</v>
      </c>
      <c r="N1840">
        <v>1</v>
      </c>
      <c r="O1840">
        <v>3.5002195839999999</v>
      </c>
    </row>
    <row r="1841" spans="1:15">
      <c r="A1841">
        <v>6.6600121999999998E-2</v>
      </c>
      <c r="B1841">
        <v>-5.7319175E-2</v>
      </c>
      <c r="C1841">
        <v>3.3300060999999999E-2</v>
      </c>
      <c r="D1841">
        <v>6.1216090000000001E-3</v>
      </c>
      <c r="E1841">
        <v>8</v>
      </c>
      <c r="F1841">
        <v>36</v>
      </c>
      <c r="G1841">
        <v>16</v>
      </c>
      <c r="H1841">
        <v>1</v>
      </c>
      <c r="I1841">
        <v>1</v>
      </c>
      <c r="J1841">
        <v>36.473461149999999</v>
      </c>
      <c r="K1841">
        <v>24.59959984</v>
      </c>
      <c r="L1841">
        <v>24.59959984</v>
      </c>
      <c r="M1841">
        <v>3.202730179</v>
      </c>
      <c r="N1841">
        <v>1</v>
      </c>
      <c r="O1841">
        <v>3.202730179</v>
      </c>
    </row>
    <row r="1842" spans="1:15">
      <c r="A1842">
        <v>-0.34825068999999997</v>
      </c>
      <c r="B1842">
        <v>-2.1423846339999999</v>
      </c>
      <c r="C1842">
        <v>-0.17412534499999999</v>
      </c>
      <c r="D1842">
        <v>-1.767321068</v>
      </c>
      <c r="E1842">
        <v>9</v>
      </c>
      <c r="F1842">
        <v>46</v>
      </c>
      <c r="G1842">
        <v>16</v>
      </c>
      <c r="H1842">
        <v>1</v>
      </c>
      <c r="I1842">
        <v>0</v>
      </c>
      <c r="J1842">
        <v>14.19214725</v>
      </c>
      <c r="K1842">
        <v>24.110496520000002</v>
      </c>
      <c r="N1842">
        <v>0</v>
      </c>
      <c r="O1842">
        <v>0</v>
      </c>
    </row>
    <row r="1843" spans="1:15">
      <c r="A1843">
        <v>0.87443996199999996</v>
      </c>
      <c r="B1843">
        <v>-0.26280943200000001</v>
      </c>
      <c r="C1843">
        <v>0.43721998099999998</v>
      </c>
      <c r="D1843">
        <v>0.42839883099999998</v>
      </c>
      <c r="E1843">
        <v>0</v>
      </c>
      <c r="F1843">
        <v>22</v>
      </c>
      <c r="G1843">
        <v>10</v>
      </c>
      <c r="H1843">
        <v>0</v>
      </c>
      <c r="I1843">
        <v>0</v>
      </c>
      <c r="J1843">
        <v>21.440786360000001</v>
      </c>
      <c r="K1843">
        <v>20.64663887</v>
      </c>
      <c r="N1843">
        <v>0</v>
      </c>
      <c r="O1843">
        <v>0</v>
      </c>
    </row>
    <row r="1844" spans="1:15">
      <c r="A1844">
        <v>-1.2416700329999999</v>
      </c>
      <c r="B1844">
        <v>-1.063713798</v>
      </c>
      <c r="C1844">
        <v>-0.62083501699999999</v>
      </c>
      <c r="D1844">
        <v>-1.629336602</v>
      </c>
      <c r="E1844">
        <v>1</v>
      </c>
      <c r="F1844">
        <v>22</v>
      </c>
      <c r="G1844">
        <v>16</v>
      </c>
      <c r="H1844">
        <v>0</v>
      </c>
      <c r="I1844">
        <v>0</v>
      </c>
      <c r="J1844">
        <v>1.247960806</v>
      </c>
      <c r="K1844">
        <v>13.94997978</v>
      </c>
      <c r="N1844">
        <v>0</v>
      </c>
      <c r="O1844">
        <v>0</v>
      </c>
    </row>
    <row r="1845" spans="1:15">
      <c r="A1845">
        <v>-1.17109588</v>
      </c>
      <c r="B1845">
        <v>-0.83341170499999995</v>
      </c>
      <c r="C1845">
        <v>-0.58554793999999999</v>
      </c>
      <c r="D1845">
        <v>-1.416041442</v>
      </c>
      <c r="E1845">
        <v>2</v>
      </c>
      <c r="F1845">
        <v>34</v>
      </c>
      <c r="G1845">
        <v>10</v>
      </c>
      <c r="H1845">
        <v>1</v>
      </c>
      <c r="I1845">
        <v>0</v>
      </c>
      <c r="J1845">
        <v>9.1075029369999996</v>
      </c>
      <c r="K1845">
        <v>10.773425100000001</v>
      </c>
      <c r="N1845">
        <v>0</v>
      </c>
      <c r="O1845">
        <v>0</v>
      </c>
    </row>
    <row r="1846" spans="1:15">
      <c r="A1846">
        <v>-0.23568766399999999</v>
      </c>
      <c r="B1846">
        <v>1.8877610199999999</v>
      </c>
      <c r="C1846">
        <v>-0.117843832</v>
      </c>
      <c r="D1846">
        <v>1.175605048</v>
      </c>
      <c r="E1846">
        <v>3</v>
      </c>
      <c r="F1846">
        <v>32</v>
      </c>
      <c r="G1846">
        <v>10</v>
      </c>
      <c r="H1846">
        <v>1</v>
      </c>
      <c r="I1846">
        <v>0</v>
      </c>
      <c r="J1846">
        <v>39.407260890000003</v>
      </c>
      <c r="K1846">
        <v>15.98587418</v>
      </c>
      <c r="L1846">
        <v>15.98587418</v>
      </c>
      <c r="M1846">
        <v>2.7717053890000001</v>
      </c>
      <c r="N1846">
        <v>1</v>
      </c>
      <c r="O1846">
        <v>2.7717053890000001</v>
      </c>
    </row>
    <row r="1847" spans="1:15">
      <c r="A1847">
        <v>0.15414860499999999</v>
      </c>
      <c r="B1847">
        <v>0.93859941599999996</v>
      </c>
      <c r="C1847">
        <v>7.7074302999999997E-2</v>
      </c>
      <c r="D1847">
        <v>0.77538954800000004</v>
      </c>
      <c r="E1847">
        <v>4</v>
      </c>
      <c r="F1847">
        <v>43</v>
      </c>
      <c r="G1847">
        <v>16</v>
      </c>
      <c r="H1847">
        <v>1</v>
      </c>
      <c r="I1847">
        <v>1</v>
      </c>
      <c r="J1847">
        <v>48.504672999999997</v>
      </c>
      <c r="K1847">
        <v>26.524890899999999</v>
      </c>
      <c r="L1847">
        <v>26.524890899999999</v>
      </c>
      <c r="M1847">
        <v>3.278083563</v>
      </c>
      <c r="N1847">
        <v>1</v>
      </c>
      <c r="O1847">
        <v>3.278083563</v>
      </c>
    </row>
    <row r="1848" spans="1:15">
      <c r="A1848">
        <v>1.1991275029999999</v>
      </c>
      <c r="B1848">
        <v>-0.44053782000000002</v>
      </c>
      <c r="C1848">
        <v>0.59956375100000003</v>
      </c>
      <c r="D1848">
        <v>0.53051790200000004</v>
      </c>
      <c r="E1848">
        <v>5</v>
      </c>
      <c r="F1848">
        <v>32</v>
      </c>
      <c r="G1848">
        <v>10</v>
      </c>
      <c r="H1848">
        <v>1</v>
      </c>
      <c r="I1848">
        <v>4</v>
      </c>
      <c r="J1848">
        <v>51.666213990000003</v>
      </c>
      <c r="K1848">
        <v>24.59476471</v>
      </c>
      <c r="L1848">
        <v>24.59476471</v>
      </c>
      <c r="M1848">
        <v>3.2025337220000001</v>
      </c>
      <c r="N1848">
        <v>1</v>
      </c>
      <c r="O1848">
        <v>3.2025337220000001</v>
      </c>
    </row>
    <row r="1849" spans="1:15">
      <c r="A1849">
        <v>0.40003424500000001</v>
      </c>
      <c r="B1849">
        <v>0.26779001499999999</v>
      </c>
      <c r="C1849">
        <v>0.20001712199999999</v>
      </c>
      <c r="D1849">
        <v>0.47170000400000001</v>
      </c>
      <c r="E1849">
        <v>6</v>
      </c>
      <c r="F1849">
        <v>35</v>
      </c>
      <c r="G1849">
        <v>16</v>
      </c>
      <c r="H1849">
        <v>1</v>
      </c>
      <c r="I1849">
        <v>5</v>
      </c>
      <c r="J1849">
        <v>61.66040039</v>
      </c>
      <c r="K1849">
        <v>26.40020561</v>
      </c>
      <c r="L1849">
        <v>26.40020561</v>
      </c>
      <c r="M1849">
        <v>3.2733716959999999</v>
      </c>
      <c r="N1849">
        <v>1</v>
      </c>
      <c r="O1849">
        <v>3.2733716959999999</v>
      </c>
    </row>
    <row r="1850" spans="1:15">
      <c r="A1850">
        <v>0.114812108</v>
      </c>
      <c r="B1850">
        <v>-0.69624512500000002</v>
      </c>
      <c r="C1850">
        <v>5.7406053999999998E-2</v>
      </c>
      <c r="D1850">
        <v>-0.41397051000000001</v>
      </c>
      <c r="E1850">
        <v>7</v>
      </c>
      <c r="F1850">
        <v>39</v>
      </c>
      <c r="G1850">
        <v>16</v>
      </c>
      <c r="H1850">
        <v>1</v>
      </c>
      <c r="I1850">
        <v>1</v>
      </c>
      <c r="J1850">
        <v>32.632354739999997</v>
      </c>
      <c r="K1850">
        <v>25.488872529999998</v>
      </c>
      <c r="L1850">
        <v>25.488872529999998</v>
      </c>
      <c r="M1850">
        <v>3.2382419109999998</v>
      </c>
      <c r="N1850">
        <v>1</v>
      </c>
      <c r="O1850">
        <v>3.2382419109999998</v>
      </c>
    </row>
    <row r="1851" spans="1:15">
      <c r="A1851">
        <v>5.4929789E-2</v>
      </c>
      <c r="B1851">
        <v>1.5877973940000001</v>
      </c>
      <c r="C1851">
        <v>2.7464895E-2</v>
      </c>
      <c r="D1851">
        <v>1.1668987749999999</v>
      </c>
      <c r="E1851">
        <v>8</v>
      </c>
      <c r="F1851">
        <v>42</v>
      </c>
      <c r="G1851">
        <v>10</v>
      </c>
      <c r="H1851">
        <v>1</v>
      </c>
      <c r="I1851">
        <v>5</v>
      </c>
      <c r="J1851">
        <v>68.302787780000003</v>
      </c>
      <c r="K1851">
        <v>19.729578020000002</v>
      </c>
      <c r="L1851">
        <v>19.729578020000002</v>
      </c>
      <c r="M1851">
        <v>2.982118845</v>
      </c>
      <c r="N1851">
        <v>1</v>
      </c>
      <c r="O1851">
        <v>2.982118845</v>
      </c>
    </row>
    <row r="1852" spans="1:15">
      <c r="A1852">
        <v>-7.7522754999999999E-2</v>
      </c>
      <c r="B1852">
        <v>1.9349859810000001</v>
      </c>
      <c r="C1852">
        <v>-3.8761377E-2</v>
      </c>
      <c r="D1852">
        <v>1.3204270950000001</v>
      </c>
      <c r="E1852">
        <v>9</v>
      </c>
      <c r="F1852">
        <v>47</v>
      </c>
      <c r="G1852">
        <v>16</v>
      </c>
      <c r="H1852">
        <v>1</v>
      </c>
      <c r="I1852">
        <v>1</v>
      </c>
      <c r="J1852">
        <v>56.645126339999997</v>
      </c>
      <c r="K1852">
        <v>25.934864040000001</v>
      </c>
      <c r="L1852">
        <v>25.934864040000001</v>
      </c>
      <c r="M1852">
        <v>3.255588055</v>
      </c>
      <c r="N1852">
        <v>1</v>
      </c>
      <c r="O1852">
        <v>3.255588055</v>
      </c>
    </row>
    <row r="1853" spans="1:15">
      <c r="A1853">
        <v>1.5806921469999999</v>
      </c>
      <c r="B1853">
        <v>0.96170488700000001</v>
      </c>
      <c r="C1853">
        <v>0.79034607300000004</v>
      </c>
      <c r="D1853">
        <v>1.795344423</v>
      </c>
      <c r="E1853">
        <v>0</v>
      </c>
      <c r="F1853">
        <v>20</v>
      </c>
      <c r="G1853">
        <v>10</v>
      </c>
      <c r="H1853">
        <v>0</v>
      </c>
      <c r="I1853">
        <v>3</v>
      </c>
      <c r="J1853">
        <v>52.044132230000002</v>
      </c>
      <c r="K1853">
        <v>24.484153750000001</v>
      </c>
      <c r="L1853">
        <v>24.484153750000001</v>
      </c>
      <c r="M1853">
        <v>3.1980261799999998</v>
      </c>
      <c r="N1853">
        <v>1</v>
      </c>
      <c r="O1853">
        <v>3.1980261799999998</v>
      </c>
    </row>
    <row r="1854" spans="1:15">
      <c r="A1854">
        <v>0.90234461700000002</v>
      </c>
      <c r="B1854">
        <v>0.37940937299999999</v>
      </c>
      <c r="C1854">
        <v>0.45117230800000002</v>
      </c>
      <c r="D1854">
        <v>0.90437688000000005</v>
      </c>
      <c r="E1854">
        <v>1</v>
      </c>
      <c r="F1854">
        <v>36</v>
      </c>
      <c r="G1854">
        <v>10</v>
      </c>
      <c r="H1854">
        <v>0</v>
      </c>
      <c r="I1854">
        <v>2</v>
      </c>
      <c r="J1854">
        <v>42.752521510000001</v>
      </c>
      <c r="K1854">
        <v>23.614067080000002</v>
      </c>
      <c r="L1854">
        <v>23.614067080000002</v>
      </c>
      <c r="M1854">
        <v>3.161842585</v>
      </c>
      <c r="N1854">
        <v>1</v>
      </c>
      <c r="O1854">
        <v>3.161842585</v>
      </c>
    </row>
    <row r="1855" spans="1:15">
      <c r="A1855">
        <v>-0.58445813199999996</v>
      </c>
      <c r="B1855">
        <v>-0.715983119</v>
      </c>
      <c r="C1855">
        <v>-0.29222906599999998</v>
      </c>
      <c r="D1855">
        <v>-0.91991451199999996</v>
      </c>
      <c r="E1855">
        <v>2</v>
      </c>
      <c r="F1855">
        <v>36</v>
      </c>
      <c r="G1855">
        <v>10</v>
      </c>
      <c r="H1855">
        <v>0</v>
      </c>
      <c r="I1855">
        <v>1</v>
      </c>
      <c r="J1855">
        <v>15.861025809999999</v>
      </c>
      <c r="K1855">
        <v>14.693251610000001</v>
      </c>
      <c r="N1855">
        <v>0</v>
      </c>
      <c r="O1855">
        <v>0</v>
      </c>
    </row>
    <row r="1856" spans="1:15">
      <c r="A1856">
        <v>7.7272449999999998E-3</v>
      </c>
      <c r="B1856">
        <v>1.337403881</v>
      </c>
      <c r="C1856">
        <v>3.8636220000000001E-3</v>
      </c>
      <c r="D1856">
        <v>0.95576837800000003</v>
      </c>
      <c r="E1856">
        <v>3</v>
      </c>
      <c r="F1856">
        <v>31</v>
      </c>
      <c r="G1856">
        <v>12</v>
      </c>
      <c r="H1856">
        <v>0</v>
      </c>
      <c r="I1856">
        <v>3</v>
      </c>
      <c r="J1856">
        <v>47.869220730000002</v>
      </c>
      <c r="K1856">
        <v>19.246362690000002</v>
      </c>
      <c r="L1856">
        <v>19.246362690000002</v>
      </c>
      <c r="M1856">
        <v>2.9573221209999998</v>
      </c>
      <c r="N1856">
        <v>1</v>
      </c>
      <c r="O1856">
        <v>2.9573221209999998</v>
      </c>
    </row>
    <row r="1857" spans="1:15">
      <c r="A1857">
        <v>-0.105000973</v>
      </c>
      <c r="B1857">
        <v>-0.57568305099999995</v>
      </c>
      <c r="C1857">
        <v>-5.2500486999999998E-2</v>
      </c>
      <c r="D1857">
        <v>-0.48293434299999999</v>
      </c>
      <c r="E1857">
        <v>4</v>
      </c>
      <c r="F1857">
        <v>45</v>
      </c>
      <c r="G1857">
        <v>12</v>
      </c>
      <c r="H1857">
        <v>1</v>
      </c>
      <c r="I1857">
        <v>2</v>
      </c>
      <c r="J1857">
        <v>36.204788209999997</v>
      </c>
      <c r="K1857">
        <v>21.369993210000001</v>
      </c>
      <c r="L1857">
        <v>21.369993210000001</v>
      </c>
      <c r="M1857">
        <v>3.0619876380000002</v>
      </c>
      <c r="N1857">
        <v>1</v>
      </c>
      <c r="O1857">
        <v>3.0619876380000002</v>
      </c>
    </row>
    <row r="1858" spans="1:15">
      <c r="A1858">
        <v>1.1133295949999999</v>
      </c>
      <c r="B1858">
        <v>1.9850154010000001</v>
      </c>
      <c r="C1858">
        <v>0.55666479800000002</v>
      </c>
      <c r="D1858">
        <v>2.193710915</v>
      </c>
      <c r="E1858">
        <v>5</v>
      </c>
      <c r="F1858">
        <v>33</v>
      </c>
      <c r="G1858">
        <v>12</v>
      </c>
      <c r="H1858">
        <v>0</v>
      </c>
      <c r="I1858">
        <v>2</v>
      </c>
      <c r="J1858">
        <v>58.524532319999999</v>
      </c>
      <c r="K1858">
        <v>26.279977800000001</v>
      </c>
      <c r="L1858">
        <v>26.279977800000001</v>
      </c>
      <c r="M1858">
        <v>3.2688074110000001</v>
      </c>
      <c r="N1858">
        <v>1</v>
      </c>
      <c r="O1858">
        <v>3.2688074110000001</v>
      </c>
    </row>
    <row r="1859" spans="1:15">
      <c r="A1859">
        <v>0.27979912699999998</v>
      </c>
      <c r="B1859">
        <v>-0.414947607</v>
      </c>
      <c r="C1859">
        <v>0.139899564</v>
      </c>
      <c r="D1859">
        <v>-9.8022003999999996E-2</v>
      </c>
      <c r="E1859">
        <v>6</v>
      </c>
      <c r="F1859">
        <v>37</v>
      </c>
      <c r="G1859">
        <v>12</v>
      </c>
      <c r="H1859">
        <v>1</v>
      </c>
      <c r="I1859">
        <v>1</v>
      </c>
      <c r="J1859">
        <v>32.623737339999998</v>
      </c>
      <c r="K1859">
        <v>22.078794479999999</v>
      </c>
      <c r="L1859">
        <v>22.078794479999999</v>
      </c>
      <c r="M1859">
        <v>3.0946176049999998</v>
      </c>
      <c r="N1859">
        <v>1</v>
      </c>
      <c r="O1859">
        <v>3.0946176049999998</v>
      </c>
    </row>
    <row r="1860" spans="1:15">
      <c r="A1860">
        <v>-1.3485088460000001</v>
      </c>
      <c r="B1860">
        <v>0.88106251899999999</v>
      </c>
      <c r="C1860">
        <v>-0.67425442300000005</v>
      </c>
      <c r="D1860">
        <v>-0.32257578100000001</v>
      </c>
      <c r="E1860">
        <v>7</v>
      </c>
      <c r="F1860">
        <v>36</v>
      </c>
      <c r="G1860">
        <v>12</v>
      </c>
      <c r="H1860">
        <v>0</v>
      </c>
      <c r="I1860">
        <v>2</v>
      </c>
      <c r="J1860">
        <v>29.529090879999998</v>
      </c>
      <c r="K1860">
        <v>12.1089468</v>
      </c>
      <c r="L1860">
        <v>12.1089468</v>
      </c>
      <c r="M1860">
        <v>2.493944645</v>
      </c>
      <c r="N1860">
        <v>1</v>
      </c>
      <c r="O1860">
        <v>2.493944645</v>
      </c>
    </row>
    <row r="1861" spans="1:15">
      <c r="A1861">
        <v>-0.88606496800000001</v>
      </c>
      <c r="B1861">
        <v>0.31625070799999999</v>
      </c>
      <c r="C1861">
        <v>-0.443032484</v>
      </c>
      <c r="D1861">
        <v>-0.39860242000000001</v>
      </c>
      <c r="E1861">
        <v>8</v>
      </c>
      <c r="F1861">
        <v>36</v>
      </c>
      <c r="G1861">
        <v>12</v>
      </c>
      <c r="H1861">
        <v>1</v>
      </c>
      <c r="I1861">
        <v>1</v>
      </c>
      <c r="J1861">
        <v>28.616771700000001</v>
      </c>
      <c r="K1861">
        <v>14.88360977</v>
      </c>
      <c r="N1861">
        <v>0</v>
      </c>
      <c r="O1861">
        <v>0</v>
      </c>
    </row>
    <row r="1862" spans="1:15">
      <c r="A1862">
        <v>1.3632988150000001</v>
      </c>
      <c r="B1862">
        <v>0.85291734799999996</v>
      </c>
      <c r="C1862">
        <v>0.68164940699999998</v>
      </c>
      <c r="D1862">
        <v>1.5651115689999999</v>
      </c>
      <c r="E1862">
        <v>9</v>
      </c>
      <c r="F1862">
        <v>44</v>
      </c>
      <c r="G1862">
        <v>12</v>
      </c>
      <c r="H1862">
        <v>1</v>
      </c>
      <c r="I1862">
        <v>3</v>
      </c>
      <c r="J1862">
        <v>65.381340030000004</v>
      </c>
      <c r="K1862">
        <v>29.97979355</v>
      </c>
      <c r="L1862">
        <v>29.97979355</v>
      </c>
      <c r="M1862">
        <v>3.400523663</v>
      </c>
      <c r="N1862">
        <v>1</v>
      </c>
      <c r="O1862">
        <v>3.400523663</v>
      </c>
    </row>
    <row r="1863" spans="1:15">
      <c r="A1863">
        <v>0.94266599600000001</v>
      </c>
      <c r="B1863">
        <v>-0.62980332800000005</v>
      </c>
      <c r="C1863">
        <v>0.471332998</v>
      </c>
      <c r="D1863">
        <v>0.21561556100000001</v>
      </c>
      <c r="E1863">
        <v>0</v>
      </c>
      <c r="F1863">
        <v>40</v>
      </c>
      <c r="G1863">
        <v>10</v>
      </c>
      <c r="H1863">
        <v>0</v>
      </c>
      <c r="I1863">
        <v>1</v>
      </c>
      <c r="J1863">
        <v>31.087387079999999</v>
      </c>
      <c r="K1863">
        <v>24.65599632</v>
      </c>
      <c r="L1863">
        <v>24.65599632</v>
      </c>
      <c r="M1863">
        <v>3.2050201889999999</v>
      </c>
      <c r="N1863">
        <v>1</v>
      </c>
      <c r="O1863">
        <v>3.2050201889999999</v>
      </c>
    </row>
    <row r="1864" spans="1:15">
      <c r="A1864">
        <v>-0.66162288899999999</v>
      </c>
      <c r="B1864">
        <v>-0.64211768300000005</v>
      </c>
      <c r="C1864">
        <v>-0.33081144400000001</v>
      </c>
      <c r="D1864">
        <v>-0.92171062599999998</v>
      </c>
      <c r="E1864">
        <v>1</v>
      </c>
      <c r="F1864">
        <v>49</v>
      </c>
      <c r="G1864">
        <v>16</v>
      </c>
      <c r="H1864">
        <v>1</v>
      </c>
      <c r="I1864">
        <v>1</v>
      </c>
      <c r="J1864">
        <v>30.539472580000002</v>
      </c>
      <c r="K1864">
        <v>22.83026314</v>
      </c>
      <c r="L1864">
        <v>22.83026314</v>
      </c>
      <c r="M1864">
        <v>3.1280870439999999</v>
      </c>
      <c r="N1864">
        <v>1</v>
      </c>
      <c r="O1864">
        <v>3.1280870439999999</v>
      </c>
    </row>
    <row r="1865" spans="1:15">
      <c r="A1865">
        <v>-0.48185985599999998</v>
      </c>
      <c r="B1865">
        <v>0.64292285100000002</v>
      </c>
      <c r="C1865">
        <v>-0.24092992799999999</v>
      </c>
      <c r="D1865">
        <v>0.117872144</v>
      </c>
      <c r="E1865">
        <v>2</v>
      </c>
      <c r="F1865">
        <v>41</v>
      </c>
      <c r="G1865">
        <v>12</v>
      </c>
      <c r="H1865">
        <v>0</v>
      </c>
      <c r="I1865">
        <v>2</v>
      </c>
      <c r="J1865">
        <v>36.814464569999998</v>
      </c>
      <c r="K1865">
        <v>18.308841709999999</v>
      </c>
      <c r="L1865">
        <v>18.308841709999999</v>
      </c>
      <c r="M1865">
        <v>2.9073841570000001</v>
      </c>
      <c r="N1865">
        <v>1</v>
      </c>
      <c r="O1865">
        <v>2.9073841570000001</v>
      </c>
    </row>
    <row r="1866" spans="1:15">
      <c r="A1866">
        <v>0.210362988</v>
      </c>
      <c r="B1866">
        <v>0.340622229</v>
      </c>
      <c r="C1866">
        <v>0.105181494</v>
      </c>
      <c r="D1866">
        <v>0.390024282</v>
      </c>
      <c r="E1866">
        <v>3</v>
      </c>
      <c r="F1866">
        <v>28</v>
      </c>
      <c r="G1866">
        <v>16</v>
      </c>
      <c r="H1866">
        <v>1</v>
      </c>
      <c r="I1866">
        <v>1</v>
      </c>
      <c r="J1866">
        <v>37.880290989999999</v>
      </c>
      <c r="K1866">
        <v>23.862178799999999</v>
      </c>
      <c r="L1866">
        <v>23.862178799999999</v>
      </c>
      <c r="M1866">
        <v>3.1722946169999999</v>
      </c>
      <c r="N1866">
        <v>1</v>
      </c>
      <c r="O1866">
        <v>3.1722946169999999</v>
      </c>
    </row>
    <row r="1867" spans="1:15">
      <c r="A1867">
        <v>-0.51573027199999999</v>
      </c>
      <c r="B1867">
        <v>1.5420475380000001</v>
      </c>
      <c r="C1867">
        <v>-0.25786513599999999</v>
      </c>
      <c r="D1867">
        <v>0.73294520699999999</v>
      </c>
      <c r="E1867">
        <v>4</v>
      </c>
      <c r="F1867">
        <v>34</v>
      </c>
      <c r="G1867">
        <v>12</v>
      </c>
      <c r="H1867">
        <v>1</v>
      </c>
      <c r="I1867">
        <v>1</v>
      </c>
      <c r="J1867">
        <v>41.395343779999997</v>
      </c>
      <c r="K1867">
        <v>16.7056179</v>
      </c>
      <c r="L1867">
        <v>16.7056179</v>
      </c>
      <c r="M1867">
        <v>2.8157451149999999</v>
      </c>
      <c r="N1867">
        <v>1</v>
      </c>
      <c r="O1867">
        <v>2.8157451149999999</v>
      </c>
    </row>
    <row r="1868" spans="1:15">
      <c r="A1868">
        <v>-2.0755322889999999</v>
      </c>
      <c r="B1868">
        <v>0.44319232200000003</v>
      </c>
      <c r="C1868">
        <v>-1.037766145</v>
      </c>
      <c r="D1868">
        <v>-1.145159829</v>
      </c>
      <c r="E1868">
        <v>5</v>
      </c>
      <c r="F1868">
        <v>39</v>
      </c>
      <c r="G1868">
        <v>12</v>
      </c>
      <c r="H1868">
        <v>1</v>
      </c>
      <c r="I1868">
        <v>3</v>
      </c>
      <c r="J1868">
        <v>30.858081819999999</v>
      </c>
      <c r="K1868">
        <v>8.3468065259999999</v>
      </c>
      <c r="L1868">
        <v>8.3468065259999999</v>
      </c>
      <c r="M1868">
        <v>2.1218791010000002</v>
      </c>
      <c r="N1868">
        <v>1</v>
      </c>
      <c r="O1868">
        <v>2.1218791010000002</v>
      </c>
    </row>
    <row r="1869" spans="1:15">
      <c r="A1869">
        <v>-0.415640012</v>
      </c>
      <c r="B1869">
        <v>-0.90274769399999999</v>
      </c>
      <c r="C1869">
        <v>-0.207820006</v>
      </c>
      <c r="D1869">
        <v>-0.93386649200000005</v>
      </c>
      <c r="E1869">
        <v>6</v>
      </c>
      <c r="F1869">
        <v>42</v>
      </c>
      <c r="G1869">
        <v>12</v>
      </c>
      <c r="H1869">
        <v>0</v>
      </c>
      <c r="I1869">
        <v>1</v>
      </c>
      <c r="J1869">
        <v>19.593601230000001</v>
      </c>
      <c r="K1869">
        <v>18.90616035</v>
      </c>
      <c r="N1869">
        <v>0</v>
      </c>
      <c r="O1869">
        <v>0</v>
      </c>
    </row>
    <row r="1870" spans="1:15">
      <c r="A1870">
        <v>-1.3742441700000001</v>
      </c>
      <c r="B1870">
        <v>-1.6710124790000001</v>
      </c>
      <c r="C1870">
        <v>-0.68712208500000005</v>
      </c>
      <c r="D1870">
        <v>-2.1541333900000001</v>
      </c>
      <c r="E1870">
        <v>7</v>
      </c>
      <c r="F1870">
        <v>37</v>
      </c>
      <c r="G1870">
        <v>10</v>
      </c>
      <c r="H1870">
        <v>1</v>
      </c>
      <c r="I1870">
        <v>1</v>
      </c>
      <c r="J1870">
        <v>6.4503993990000001</v>
      </c>
      <c r="K1870">
        <v>10.15453529</v>
      </c>
      <c r="N1870">
        <v>0</v>
      </c>
      <c r="O1870">
        <v>0</v>
      </c>
    </row>
    <row r="1871" spans="1:15">
      <c r="A1871">
        <v>0.70906979599999997</v>
      </c>
      <c r="B1871">
        <v>1.319346283</v>
      </c>
      <c r="C1871">
        <v>0.35453489799999999</v>
      </c>
      <c r="D1871">
        <v>1.4363134049999999</v>
      </c>
      <c r="E1871">
        <v>8</v>
      </c>
      <c r="F1871">
        <v>43</v>
      </c>
      <c r="G1871">
        <v>16</v>
      </c>
      <c r="H1871">
        <v>1</v>
      </c>
      <c r="I1871">
        <v>1</v>
      </c>
      <c r="J1871">
        <v>56.435760500000001</v>
      </c>
      <c r="K1871">
        <v>29.854419709999998</v>
      </c>
      <c r="L1871">
        <v>29.854419709999998</v>
      </c>
      <c r="M1871">
        <v>3.3963329789999999</v>
      </c>
      <c r="N1871">
        <v>1</v>
      </c>
      <c r="O1871">
        <v>3.3963329789999999</v>
      </c>
    </row>
    <row r="1872" spans="1:15">
      <c r="A1872">
        <v>-0.16931880199999999</v>
      </c>
      <c r="B1872">
        <v>-0.209880652</v>
      </c>
      <c r="C1872">
        <v>-8.4659400999999995E-2</v>
      </c>
      <c r="D1872">
        <v>-0.26824840599999999</v>
      </c>
      <c r="E1872">
        <v>9</v>
      </c>
      <c r="F1872">
        <v>51</v>
      </c>
      <c r="G1872">
        <v>12</v>
      </c>
      <c r="H1872">
        <v>1</v>
      </c>
      <c r="I1872">
        <v>5</v>
      </c>
      <c r="J1872">
        <v>56.181018829999999</v>
      </c>
      <c r="K1872">
        <v>22.18408775</v>
      </c>
      <c r="L1872">
        <v>22.18408775</v>
      </c>
      <c r="M1872">
        <v>3.0993752479999999</v>
      </c>
      <c r="N1872">
        <v>1</v>
      </c>
      <c r="O1872">
        <v>3.0993752479999999</v>
      </c>
    </row>
    <row r="1873" spans="1:15">
      <c r="A1873">
        <v>-0.37511323800000002</v>
      </c>
      <c r="B1873">
        <v>-0.47261505599999998</v>
      </c>
      <c r="C1873">
        <v>-0.18755661900000001</v>
      </c>
      <c r="D1873">
        <v>-0.59971329799999995</v>
      </c>
      <c r="E1873">
        <v>0</v>
      </c>
      <c r="F1873">
        <v>22</v>
      </c>
      <c r="G1873">
        <v>10</v>
      </c>
      <c r="H1873">
        <v>0</v>
      </c>
      <c r="I1873">
        <v>1</v>
      </c>
      <c r="J1873">
        <v>14.103440279999999</v>
      </c>
      <c r="K1873">
        <v>13.149320599999999</v>
      </c>
      <c r="N1873">
        <v>0</v>
      </c>
      <c r="O1873">
        <v>0</v>
      </c>
    </row>
    <row r="1874" spans="1:15">
      <c r="A1874">
        <v>-0.94505824900000002</v>
      </c>
      <c r="B1874">
        <v>-0.24212861199999999</v>
      </c>
      <c r="C1874">
        <v>-0.47252912400000002</v>
      </c>
      <c r="D1874">
        <v>-0.83687585399999997</v>
      </c>
      <c r="E1874">
        <v>1</v>
      </c>
      <c r="F1874">
        <v>31</v>
      </c>
      <c r="G1874">
        <v>10</v>
      </c>
      <c r="H1874">
        <v>0</v>
      </c>
      <c r="I1874">
        <v>1</v>
      </c>
      <c r="J1874">
        <v>14.85748959</v>
      </c>
      <c r="K1874">
        <v>11.52965069</v>
      </c>
      <c r="N1874">
        <v>0</v>
      </c>
      <c r="O1874">
        <v>0</v>
      </c>
    </row>
    <row r="1875" spans="1:15">
      <c r="A1875">
        <v>1.3050383830000001</v>
      </c>
      <c r="B1875">
        <v>0.85833344899999997</v>
      </c>
      <c r="C1875">
        <v>0.65251919199999997</v>
      </c>
      <c r="D1875">
        <v>1.5279754320000001</v>
      </c>
      <c r="E1875">
        <v>2</v>
      </c>
      <c r="F1875">
        <v>34</v>
      </c>
      <c r="G1875">
        <v>10</v>
      </c>
      <c r="H1875">
        <v>1</v>
      </c>
      <c r="I1875">
        <v>0</v>
      </c>
      <c r="J1875">
        <v>44.435703279999998</v>
      </c>
      <c r="K1875">
        <v>25.63022995</v>
      </c>
      <c r="L1875">
        <v>25.63022995</v>
      </c>
      <c r="M1875">
        <v>3.2437725070000001</v>
      </c>
      <c r="N1875">
        <v>1</v>
      </c>
      <c r="O1875">
        <v>3.2437725070000001</v>
      </c>
    </row>
    <row r="1876" spans="1:15">
      <c r="A1876">
        <v>0.219515553</v>
      </c>
      <c r="B1876">
        <v>-0.104062945</v>
      </c>
      <c r="C1876">
        <v>0.109757777</v>
      </c>
      <c r="D1876">
        <v>8.0478482000000004E-2</v>
      </c>
      <c r="E1876">
        <v>3</v>
      </c>
      <c r="F1876">
        <v>28</v>
      </c>
      <c r="G1876">
        <v>10</v>
      </c>
      <c r="H1876">
        <v>0</v>
      </c>
      <c r="I1876">
        <v>4</v>
      </c>
      <c r="J1876">
        <v>39.665740970000002</v>
      </c>
      <c r="K1876">
        <v>17.91709328</v>
      </c>
      <c r="L1876">
        <v>17.91709328</v>
      </c>
      <c r="M1876">
        <v>2.8857553010000001</v>
      </c>
      <c r="N1876">
        <v>1</v>
      </c>
      <c r="O1876">
        <v>2.8857553010000001</v>
      </c>
    </row>
    <row r="1877" spans="1:15">
      <c r="A1877">
        <v>0.14736733799999999</v>
      </c>
      <c r="B1877">
        <v>0.43106552300000001</v>
      </c>
      <c r="C1877">
        <v>7.3683668999999993E-2</v>
      </c>
      <c r="D1877">
        <v>0.40997566400000002</v>
      </c>
      <c r="E1877">
        <v>4</v>
      </c>
      <c r="F1877">
        <v>48</v>
      </c>
      <c r="G1877">
        <v>12</v>
      </c>
      <c r="H1877">
        <v>0</v>
      </c>
      <c r="I1877">
        <v>3</v>
      </c>
      <c r="J1877">
        <v>48.119709010000001</v>
      </c>
      <c r="K1877">
        <v>23.484203340000001</v>
      </c>
      <c r="L1877">
        <v>23.484203340000001</v>
      </c>
      <c r="M1877">
        <v>3.1563279629999998</v>
      </c>
      <c r="N1877">
        <v>1</v>
      </c>
      <c r="O1877">
        <v>3.1563279629999998</v>
      </c>
    </row>
    <row r="1878" spans="1:15">
      <c r="A1878">
        <v>7.2609910999999999E-2</v>
      </c>
      <c r="B1878">
        <v>0.59467135500000001</v>
      </c>
      <c r="C1878">
        <v>3.6304955999999999E-2</v>
      </c>
      <c r="D1878">
        <v>0.47364077599999999</v>
      </c>
      <c r="E1878">
        <v>5</v>
      </c>
      <c r="F1878">
        <v>31</v>
      </c>
      <c r="G1878">
        <v>12</v>
      </c>
      <c r="H1878">
        <v>0</v>
      </c>
      <c r="I1878">
        <v>4</v>
      </c>
      <c r="J1878">
        <v>47.08369064</v>
      </c>
      <c r="K1878">
        <v>19.635660170000001</v>
      </c>
      <c r="L1878">
        <v>19.635660170000001</v>
      </c>
      <c r="M1878">
        <v>2.9773473739999998</v>
      </c>
      <c r="N1878">
        <v>1</v>
      </c>
      <c r="O1878">
        <v>2.9773473739999998</v>
      </c>
    </row>
    <row r="1879" spans="1:15">
      <c r="A1879">
        <v>-1.2647820110000001</v>
      </c>
      <c r="B1879">
        <v>0.49982963000000002</v>
      </c>
      <c r="C1879">
        <v>-0.63239100599999998</v>
      </c>
      <c r="D1879">
        <v>-0.53457258100000005</v>
      </c>
      <c r="E1879">
        <v>6</v>
      </c>
      <c r="F1879">
        <v>35</v>
      </c>
      <c r="G1879">
        <v>12</v>
      </c>
      <c r="H1879">
        <v>1</v>
      </c>
      <c r="I1879">
        <v>1</v>
      </c>
      <c r="J1879">
        <v>26.585128780000002</v>
      </c>
      <c r="K1879">
        <v>12.411308289999999</v>
      </c>
      <c r="N1879">
        <v>0</v>
      </c>
      <c r="O1879">
        <v>0</v>
      </c>
    </row>
    <row r="1880" spans="1:15">
      <c r="A1880">
        <v>-1.2020117859999999</v>
      </c>
      <c r="B1880">
        <v>-0.92079605200000003</v>
      </c>
      <c r="C1880">
        <v>-0.60100589299999996</v>
      </c>
      <c r="D1880">
        <v>-1.499883555</v>
      </c>
      <c r="E1880">
        <v>7</v>
      </c>
      <c r="F1880">
        <v>34</v>
      </c>
      <c r="G1880">
        <v>20</v>
      </c>
      <c r="H1880">
        <v>1</v>
      </c>
      <c r="I1880">
        <v>0</v>
      </c>
      <c r="J1880">
        <v>15.60139751</v>
      </c>
      <c r="K1880">
        <v>20.587928770000001</v>
      </c>
      <c r="N1880">
        <v>0</v>
      </c>
      <c r="O1880">
        <v>0</v>
      </c>
    </row>
    <row r="1881" spans="1:15">
      <c r="A1881">
        <v>5.3222238999999998E-2</v>
      </c>
      <c r="B1881">
        <v>-0.63532423699999996</v>
      </c>
      <c r="C1881">
        <v>2.6611119999999999E-2</v>
      </c>
      <c r="D1881">
        <v>-0.41400822799999998</v>
      </c>
      <c r="E1881">
        <v>8</v>
      </c>
      <c r="F1881">
        <v>39</v>
      </c>
      <c r="G1881">
        <v>16</v>
      </c>
      <c r="H1881">
        <v>1</v>
      </c>
      <c r="I1881">
        <v>2</v>
      </c>
      <c r="J1881">
        <v>37.631900790000003</v>
      </c>
      <c r="K1881">
        <v>25.119333269999998</v>
      </c>
      <c r="L1881">
        <v>25.119333269999998</v>
      </c>
      <c r="M1881">
        <v>3.2236378189999999</v>
      </c>
      <c r="N1881">
        <v>1</v>
      </c>
      <c r="O1881">
        <v>3.2236378189999999</v>
      </c>
    </row>
    <row r="1882" spans="1:15">
      <c r="A1882">
        <v>-0.309243975</v>
      </c>
      <c r="B1882">
        <v>0.79162363000000002</v>
      </c>
      <c r="C1882">
        <v>-0.15462198799999999</v>
      </c>
      <c r="D1882">
        <v>0.34496676500000001</v>
      </c>
      <c r="E1882">
        <v>9</v>
      </c>
      <c r="F1882">
        <v>40</v>
      </c>
      <c r="G1882">
        <v>20</v>
      </c>
      <c r="H1882">
        <v>1</v>
      </c>
      <c r="I1882">
        <v>0</v>
      </c>
      <c r="J1882">
        <v>40.139602660000001</v>
      </c>
      <c r="K1882">
        <v>27.144536970000001</v>
      </c>
      <c r="L1882">
        <v>27.144536970000001</v>
      </c>
      <c r="M1882">
        <v>3.3011758329999998</v>
      </c>
      <c r="N1882">
        <v>1</v>
      </c>
      <c r="O1882">
        <v>3.3011758329999998</v>
      </c>
    </row>
    <row r="1883" spans="1:15">
      <c r="A1883">
        <v>-0.52428864399999997</v>
      </c>
      <c r="B1883">
        <v>-1.2981842750000001</v>
      </c>
      <c r="C1883">
        <v>-0.26214432199999999</v>
      </c>
      <c r="D1883">
        <v>-1.2912873309999999</v>
      </c>
      <c r="E1883">
        <v>0</v>
      </c>
      <c r="F1883">
        <v>21</v>
      </c>
      <c r="G1883">
        <v>10</v>
      </c>
      <c r="H1883">
        <v>0</v>
      </c>
      <c r="I1883">
        <v>3</v>
      </c>
      <c r="J1883">
        <v>15.40455246</v>
      </c>
      <c r="K1883">
        <v>12.054267879999999</v>
      </c>
      <c r="N1883">
        <v>0</v>
      </c>
      <c r="O1883">
        <v>0</v>
      </c>
    </row>
    <row r="1884" spans="1:15">
      <c r="A1884">
        <v>3.0302641000000002E-2</v>
      </c>
      <c r="B1884">
        <v>0.33255071400000003</v>
      </c>
      <c r="C1884">
        <v>1.5151319999999999E-2</v>
      </c>
      <c r="D1884">
        <v>0.25762101500000001</v>
      </c>
      <c r="E1884">
        <v>1</v>
      </c>
      <c r="F1884">
        <v>34</v>
      </c>
      <c r="G1884">
        <v>10</v>
      </c>
      <c r="H1884">
        <v>0</v>
      </c>
      <c r="I1884">
        <v>3</v>
      </c>
      <c r="J1884">
        <v>39.191452030000001</v>
      </c>
      <c r="K1884">
        <v>17.981815340000001</v>
      </c>
      <c r="L1884">
        <v>17.981815340000001</v>
      </c>
      <c r="M1884">
        <v>2.8893609050000002</v>
      </c>
      <c r="N1884">
        <v>1</v>
      </c>
      <c r="O1884">
        <v>2.8893609050000002</v>
      </c>
    </row>
    <row r="1885" spans="1:15">
      <c r="A1885">
        <v>0.62594050800000001</v>
      </c>
      <c r="B1885">
        <v>-0.48498276800000001</v>
      </c>
      <c r="C1885">
        <v>0.312970254</v>
      </c>
      <c r="D1885">
        <v>9.5713943999999995E-2</v>
      </c>
      <c r="E1885">
        <v>2</v>
      </c>
      <c r="F1885">
        <v>31</v>
      </c>
      <c r="G1885">
        <v>20</v>
      </c>
      <c r="H1885">
        <v>0</v>
      </c>
      <c r="I1885">
        <v>1</v>
      </c>
      <c r="J1885">
        <v>33.54856873</v>
      </c>
      <c r="K1885">
        <v>30.955642699999999</v>
      </c>
      <c r="L1885">
        <v>30.955642699999999</v>
      </c>
      <c r="M1885">
        <v>3.4325551989999998</v>
      </c>
      <c r="N1885">
        <v>1</v>
      </c>
      <c r="O1885">
        <v>3.4325551989999998</v>
      </c>
    </row>
    <row r="1886" spans="1:15">
      <c r="A1886">
        <v>0.65135074199999998</v>
      </c>
      <c r="B1886">
        <v>0.81173304000000002</v>
      </c>
      <c r="C1886">
        <v>0.32567537099999999</v>
      </c>
      <c r="D1886">
        <v>1.0350097170000001</v>
      </c>
      <c r="E1886">
        <v>3</v>
      </c>
      <c r="F1886">
        <v>29</v>
      </c>
      <c r="G1886">
        <v>10</v>
      </c>
      <c r="H1886">
        <v>0</v>
      </c>
      <c r="I1886">
        <v>1</v>
      </c>
      <c r="J1886">
        <v>36.520114900000003</v>
      </c>
      <c r="K1886">
        <v>20.70810509</v>
      </c>
      <c r="L1886">
        <v>20.70810509</v>
      </c>
      <c r="M1886">
        <v>3.0305252079999998</v>
      </c>
      <c r="N1886">
        <v>1</v>
      </c>
      <c r="O1886">
        <v>3.0305252079999998</v>
      </c>
    </row>
    <row r="1887" spans="1:15">
      <c r="A1887">
        <v>-1.6991606779999999</v>
      </c>
      <c r="B1887">
        <v>-1.0689656350000001</v>
      </c>
      <c r="C1887">
        <v>-0.84958033899999996</v>
      </c>
      <c r="D1887">
        <v>-1.9549013209999999</v>
      </c>
      <c r="E1887">
        <v>4</v>
      </c>
      <c r="F1887">
        <v>45</v>
      </c>
      <c r="G1887">
        <v>12</v>
      </c>
      <c r="H1887">
        <v>0</v>
      </c>
      <c r="I1887">
        <v>1</v>
      </c>
      <c r="J1887">
        <v>8.5411844250000009</v>
      </c>
      <c r="K1887">
        <v>11.805035589999999</v>
      </c>
      <c r="N1887">
        <v>0</v>
      </c>
      <c r="O1887">
        <v>0</v>
      </c>
    </row>
    <row r="1888" spans="1:15">
      <c r="A1888">
        <v>-0.47487088700000002</v>
      </c>
      <c r="B1888">
        <v>1.053773364</v>
      </c>
      <c r="C1888">
        <v>-0.237435444</v>
      </c>
      <c r="D1888">
        <v>0.41473086399999998</v>
      </c>
      <c r="E1888">
        <v>5</v>
      </c>
      <c r="F1888">
        <v>30</v>
      </c>
      <c r="G1888">
        <v>16</v>
      </c>
      <c r="H1888">
        <v>1</v>
      </c>
      <c r="I1888">
        <v>0</v>
      </c>
      <c r="J1888">
        <v>33.976768489999998</v>
      </c>
      <c r="K1888">
        <v>20.150773999999998</v>
      </c>
      <c r="L1888">
        <v>20.150773999999998</v>
      </c>
      <c r="M1888">
        <v>3.0032427309999998</v>
      </c>
      <c r="N1888">
        <v>1</v>
      </c>
      <c r="O1888">
        <v>3.0032427309999998</v>
      </c>
    </row>
    <row r="1889" spans="1:15">
      <c r="A1889">
        <v>-0.95934314200000004</v>
      </c>
      <c r="B1889">
        <v>1.1567388649999999</v>
      </c>
      <c r="C1889">
        <v>-0.47967157100000002</v>
      </c>
      <c r="D1889">
        <v>0.147082355</v>
      </c>
      <c r="E1889">
        <v>6</v>
      </c>
      <c r="F1889">
        <v>46</v>
      </c>
      <c r="G1889">
        <v>12</v>
      </c>
      <c r="H1889">
        <v>1</v>
      </c>
      <c r="I1889">
        <v>1</v>
      </c>
      <c r="J1889">
        <v>39.164989470000002</v>
      </c>
      <c r="K1889">
        <v>16.443941120000002</v>
      </c>
      <c r="L1889">
        <v>16.443941120000002</v>
      </c>
      <c r="M1889">
        <v>2.799957037</v>
      </c>
      <c r="N1889">
        <v>1</v>
      </c>
      <c r="O1889">
        <v>2.799957037</v>
      </c>
    </row>
    <row r="1890" spans="1:15">
      <c r="A1890">
        <v>-0.78837417499999995</v>
      </c>
      <c r="B1890">
        <v>2.1637399620000002</v>
      </c>
      <c r="C1890">
        <v>-0.39418708800000002</v>
      </c>
      <c r="D1890">
        <v>0.98290946099999998</v>
      </c>
      <c r="E1890">
        <v>7</v>
      </c>
      <c r="F1890">
        <v>41</v>
      </c>
      <c r="G1890">
        <v>12</v>
      </c>
      <c r="H1890">
        <v>1</v>
      </c>
      <c r="I1890">
        <v>0</v>
      </c>
      <c r="J1890">
        <v>42.194911959999999</v>
      </c>
      <c r="K1890">
        <v>16.469755169999999</v>
      </c>
      <c r="L1890">
        <v>16.469755169999999</v>
      </c>
      <c r="M1890">
        <v>2.801525593</v>
      </c>
      <c r="N1890">
        <v>1</v>
      </c>
      <c r="O1890">
        <v>2.801525593</v>
      </c>
    </row>
    <row r="1891" spans="1:15">
      <c r="A1891">
        <v>1.2228748490000001</v>
      </c>
      <c r="B1891">
        <v>-0.28373219799999999</v>
      </c>
      <c r="C1891">
        <v>0.61143742400000001</v>
      </c>
      <c r="D1891">
        <v>0.65864648800000003</v>
      </c>
      <c r="E1891">
        <v>8</v>
      </c>
      <c r="F1891">
        <v>46</v>
      </c>
      <c r="G1891">
        <v>12</v>
      </c>
      <c r="H1891">
        <v>1</v>
      </c>
      <c r="I1891">
        <v>2</v>
      </c>
      <c r="J1891">
        <v>50.303756710000002</v>
      </c>
      <c r="K1891">
        <v>29.537248609999999</v>
      </c>
      <c r="L1891">
        <v>29.537248609999999</v>
      </c>
      <c r="M1891">
        <v>3.3856520649999999</v>
      </c>
      <c r="N1891">
        <v>1</v>
      </c>
      <c r="O1891">
        <v>3.3856520649999999</v>
      </c>
    </row>
    <row r="1892" spans="1:15">
      <c r="A1892">
        <v>-1.0415253820000001</v>
      </c>
      <c r="B1892">
        <v>-0.28733106000000003</v>
      </c>
      <c r="C1892">
        <v>-0.52076269100000006</v>
      </c>
      <c r="D1892">
        <v>-0.93685795000000005</v>
      </c>
      <c r="E1892">
        <v>9</v>
      </c>
      <c r="F1892">
        <v>53</v>
      </c>
      <c r="G1892">
        <v>12</v>
      </c>
      <c r="H1892">
        <v>1</v>
      </c>
      <c r="I1892">
        <v>4</v>
      </c>
      <c r="J1892">
        <v>43.957706450000003</v>
      </c>
      <c r="K1892">
        <v>17.35084724</v>
      </c>
      <c r="L1892">
        <v>17.35084724</v>
      </c>
      <c r="M1892">
        <v>2.853641272</v>
      </c>
      <c r="N1892">
        <v>1</v>
      </c>
      <c r="O1892">
        <v>2.853641272</v>
      </c>
    </row>
    <row r="1893" spans="1:15">
      <c r="A1893">
        <v>0.75418255700000003</v>
      </c>
      <c r="B1893">
        <v>-1.0257701690000001</v>
      </c>
      <c r="C1893">
        <v>0.377091279</v>
      </c>
      <c r="D1893">
        <v>-0.19834379799999999</v>
      </c>
      <c r="E1893">
        <v>0</v>
      </c>
      <c r="F1893">
        <v>31</v>
      </c>
      <c r="G1893">
        <v>10</v>
      </c>
      <c r="H1893">
        <v>1</v>
      </c>
      <c r="I1893">
        <v>0</v>
      </c>
      <c r="J1893">
        <v>22.519874569999999</v>
      </c>
      <c r="K1893">
        <v>21.725095750000001</v>
      </c>
      <c r="N1893">
        <v>0</v>
      </c>
      <c r="O1893">
        <v>0</v>
      </c>
    </row>
    <row r="1894" spans="1:15">
      <c r="A1894">
        <v>-0.103550695</v>
      </c>
      <c r="B1894">
        <v>0.99054567900000001</v>
      </c>
      <c r="C1894">
        <v>-5.1775346999999999E-2</v>
      </c>
      <c r="D1894">
        <v>0.63101671400000003</v>
      </c>
      <c r="E1894">
        <v>1</v>
      </c>
      <c r="F1894">
        <v>23</v>
      </c>
      <c r="G1894">
        <v>10</v>
      </c>
      <c r="H1894">
        <v>0</v>
      </c>
      <c r="I1894">
        <v>3</v>
      </c>
      <c r="J1894">
        <v>39.272201539999998</v>
      </c>
      <c r="K1894">
        <v>14.978695869999999</v>
      </c>
      <c r="L1894">
        <v>14.978695869999999</v>
      </c>
      <c r="M1894">
        <v>2.7066287990000002</v>
      </c>
      <c r="N1894">
        <v>1</v>
      </c>
      <c r="O1894">
        <v>2.7066287990000002</v>
      </c>
    </row>
    <row r="1895" spans="1:15">
      <c r="A1895">
        <v>0.29799373699999998</v>
      </c>
      <c r="B1895">
        <v>2.2491878E-2</v>
      </c>
      <c r="C1895">
        <v>0.148996869</v>
      </c>
      <c r="D1895">
        <v>0.22561318699999999</v>
      </c>
      <c r="E1895">
        <v>2</v>
      </c>
      <c r="F1895">
        <v>42</v>
      </c>
      <c r="G1895">
        <v>12</v>
      </c>
      <c r="H1895">
        <v>0</v>
      </c>
      <c r="I1895">
        <v>3</v>
      </c>
      <c r="J1895">
        <v>43.507358549999999</v>
      </c>
      <c r="K1895">
        <v>23.18796158</v>
      </c>
      <c r="L1895">
        <v>23.18796158</v>
      </c>
      <c r="M1895">
        <v>3.143633366</v>
      </c>
      <c r="N1895">
        <v>1</v>
      </c>
      <c r="O1895">
        <v>3.143633366</v>
      </c>
    </row>
    <row r="1896" spans="1:15">
      <c r="A1896">
        <v>1.6169574999999999E-2</v>
      </c>
      <c r="B1896">
        <v>-0.99599566299999998</v>
      </c>
      <c r="C1896">
        <v>8.0847880000000007E-3</v>
      </c>
      <c r="D1896">
        <v>-0.69635972700000004</v>
      </c>
      <c r="E1896">
        <v>3</v>
      </c>
      <c r="F1896">
        <v>30</v>
      </c>
      <c r="G1896">
        <v>12</v>
      </c>
      <c r="H1896">
        <v>1</v>
      </c>
      <c r="I1896">
        <v>2</v>
      </c>
      <c r="J1896">
        <v>27.643682479999999</v>
      </c>
      <c r="K1896">
        <v>19.09701729</v>
      </c>
      <c r="N1896">
        <v>0</v>
      </c>
      <c r="O1896">
        <v>0</v>
      </c>
    </row>
    <row r="1897" spans="1:15">
      <c r="A1897">
        <v>0.141372101</v>
      </c>
      <c r="B1897">
        <v>-0.78895051100000002</v>
      </c>
      <c r="C1897">
        <v>7.0686051E-2</v>
      </c>
      <c r="D1897">
        <v>-0.46116083299999999</v>
      </c>
      <c r="E1897">
        <v>4</v>
      </c>
      <c r="F1897">
        <v>38</v>
      </c>
      <c r="G1897">
        <v>16</v>
      </c>
      <c r="H1897">
        <v>1</v>
      </c>
      <c r="I1897">
        <v>0</v>
      </c>
      <c r="J1897">
        <v>26.666070940000001</v>
      </c>
      <c r="K1897">
        <v>25.448232650000001</v>
      </c>
      <c r="N1897">
        <v>0</v>
      </c>
      <c r="O1897">
        <v>0</v>
      </c>
    </row>
    <row r="1898" spans="1:15">
      <c r="A1898">
        <v>0.45223793800000001</v>
      </c>
      <c r="B1898">
        <v>0.85185951000000004</v>
      </c>
      <c r="C1898">
        <v>0.226118969</v>
      </c>
      <c r="D1898">
        <v>0.92345206300000005</v>
      </c>
      <c r="E1898">
        <v>5</v>
      </c>
      <c r="F1898">
        <v>31</v>
      </c>
      <c r="G1898">
        <v>10</v>
      </c>
      <c r="H1898">
        <v>1</v>
      </c>
      <c r="I1898">
        <v>0</v>
      </c>
      <c r="J1898">
        <v>35.981426239999998</v>
      </c>
      <c r="K1898">
        <v>19.913427349999999</v>
      </c>
      <c r="L1898">
        <v>19.913427349999999</v>
      </c>
      <c r="M1898">
        <v>2.9913942809999998</v>
      </c>
      <c r="N1898">
        <v>1</v>
      </c>
      <c r="O1898">
        <v>2.9913942809999998</v>
      </c>
    </row>
    <row r="1899" spans="1:15">
      <c r="A1899">
        <v>0.144517338</v>
      </c>
      <c r="B1899">
        <v>0.213598703</v>
      </c>
      <c r="C1899">
        <v>7.2258668999999998E-2</v>
      </c>
      <c r="D1899">
        <v>0.25344318799999999</v>
      </c>
      <c r="E1899">
        <v>6</v>
      </c>
      <c r="F1899">
        <v>52</v>
      </c>
      <c r="G1899">
        <v>16</v>
      </c>
      <c r="H1899">
        <v>1</v>
      </c>
      <c r="I1899">
        <v>0</v>
      </c>
      <c r="J1899">
        <v>40.841320039999999</v>
      </c>
      <c r="K1899">
        <v>28.267103200000001</v>
      </c>
      <c r="L1899">
        <v>28.267103200000001</v>
      </c>
      <c r="M1899">
        <v>3.3416986469999999</v>
      </c>
      <c r="N1899">
        <v>1</v>
      </c>
      <c r="O1899">
        <v>3.3416986469999999</v>
      </c>
    </row>
    <row r="1900" spans="1:15">
      <c r="A1900">
        <v>-1.121761689</v>
      </c>
      <c r="B1900">
        <v>-0.120958991</v>
      </c>
      <c r="C1900">
        <v>-0.56088084400000005</v>
      </c>
      <c r="D1900">
        <v>-0.87508145599999998</v>
      </c>
      <c r="E1900">
        <v>7</v>
      </c>
      <c r="F1900">
        <v>36</v>
      </c>
      <c r="G1900">
        <v>10</v>
      </c>
      <c r="H1900">
        <v>1</v>
      </c>
      <c r="I1900">
        <v>1</v>
      </c>
      <c r="J1900">
        <v>21.399023060000001</v>
      </c>
      <c r="K1900">
        <v>11.46942997</v>
      </c>
      <c r="N1900">
        <v>0</v>
      </c>
      <c r="O1900">
        <v>0</v>
      </c>
    </row>
    <row r="1901" spans="1:15">
      <c r="A1901">
        <v>-0.29460563099999998</v>
      </c>
      <c r="B1901">
        <v>0.31346535599999997</v>
      </c>
      <c r="C1901">
        <v>-0.147302816</v>
      </c>
      <c r="D1901">
        <v>1.5494752000000001E-2</v>
      </c>
      <c r="E1901">
        <v>8</v>
      </c>
      <c r="F1901">
        <v>46</v>
      </c>
      <c r="G1901">
        <v>20</v>
      </c>
      <c r="H1901">
        <v>1</v>
      </c>
      <c r="I1901">
        <v>1</v>
      </c>
      <c r="J1901">
        <v>43.5859375</v>
      </c>
      <c r="K1901">
        <v>28.43236542</v>
      </c>
      <c r="L1901">
        <v>28.43236542</v>
      </c>
      <c r="M1901">
        <v>3.347528219</v>
      </c>
      <c r="N1901">
        <v>1</v>
      </c>
      <c r="O1901">
        <v>3.347528219</v>
      </c>
    </row>
    <row r="1902" spans="1:15">
      <c r="A1902">
        <v>-0.18745020300000001</v>
      </c>
      <c r="B1902">
        <v>-2.6538148669999999</v>
      </c>
      <c r="C1902">
        <v>-9.3725102000000005E-2</v>
      </c>
      <c r="D1902">
        <v>-2.0176141730000001</v>
      </c>
      <c r="E1902">
        <v>9</v>
      </c>
      <c r="F1902">
        <v>55</v>
      </c>
      <c r="G1902">
        <v>12</v>
      </c>
      <c r="H1902">
        <v>1</v>
      </c>
      <c r="I1902">
        <v>5</v>
      </c>
      <c r="J1902">
        <v>36.788631440000003</v>
      </c>
      <c r="K1902">
        <v>22.87529945</v>
      </c>
      <c r="L1902">
        <v>22.87529945</v>
      </c>
      <c r="M1902">
        <v>3.130057812</v>
      </c>
      <c r="N1902">
        <v>1</v>
      </c>
      <c r="O1902">
        <v>3.130057812</v>
      </c>
    </row>
    <row r="1903" spans="1:15">
      <c r="A1903">
        <v>0.378635322</v>
      </c>
      <c r="B1903">
        <v>7.3928209999999999E-3</v>
      </c>
      <c r="C1903">
        <v>0.189317661</v>
      </c>
      <c r="D1903">
        <v>0.27161337400000002</v>
      </c>
      <c r="E1903">
        <v>0</v>
      </c>
      <c r="F1903">
        <v>29</v>
      </c>
      <c r="G1903">
        <v>10</v>
      </c>
      <c r="H1903">
        <v>0</v>
      </c>
      <c r="I1903">
        <v>1</v>
      </c>
      <c r="J1903">
        <v>27.359359739999999</v>
      </c>
      <c r="K1903">
        <v>19.07181168</v>
      </c>
      <c r="N1903">
        <v>0</v>
      </c>
      <c r="O1903">
        <v>0</v>
      </c>
    </row>
    <row r="1904" spans="1:15">
      <c r="A1904">
        <v>3.6141820670000002</v>
      </c>
      <c r="B1904">
        <v>-0.426811253</v>
      </c>
      <c r="C1904">
        <v>1.8070910330000001</v>
      </c>
      <c r="D1904">
        <v>2.2392003229999999</v>
      </c>
      <c r="E1904">
        <v>1</v>
      </c>
      <c r="F1904">
        <v>22</v>
      </c>
      <c r="G1904">
        <v>12</v>
      </c>
      <c r="H1904">
        <v>1</v>
      </c>
      <c r="I1904">
        <v>3</v>
      </c>
      <c r="J1904">
        <v>64.670402530000004</v>
      </c>
      <c r="K1904">
        <v>39.085090639999997</v>
      </c>
      <c r="L1904">
        <v>39.085090639999997</v>
      </c>
      <c r="M1904">
        <v>3.6657409670000001</v>
      </c>
      <c r="N1904">
        <v>1</v>
      </c>
      <c r="O1904">
        <v>3.6657409670000001</v>
      </c>
    </row>
    <row r="1905" spans="1:15">
      <c r="A1905">
        <v>0.28398570699999998</v>
      </c>
      <c r="B1905">
        <v>-1.5833816979999999</v>
      </c>
      <c r="C1905">
        <v>0.141992853</v>
      </c>
      <c r="D1905">
        <v>-0.92534276000000004</v>
      </c>
      <c r="E1905">
        <v>2</v>
      </c>
      <c r="F1905">
        <v>27</v>
      </c>
      <c r="G1905">
        <v>12</v>
      </c>
      <c r="H1905">
        <v>0</v>
      </c>
      <c r="I1905">
        <v>4</v>
      </c>
      <c r="J1905">
        <v>28.695886609999999</v>
      </c>
      <c r="K1905">
        <v>20.10391426</v>
      </c>
      <c r="N1905">
        <v>0</v>
      </c>
      <c r="O1905">
        <v>0</v>
      </c>
    </row>
    <row r="1906" spans="1:15">
      <c r="A1906">
        <v>-0.26238109199999998</v>
      </c>
      <c r="B1906">
        <v>-1.170273734</v>
      </c>
      <c r="C1906">
        <v>-0.13119054599999999</v>
      </c>
      <c r="D1906">
        <v>-1.01615145</v>
      </c>
      <c r="E1906">
        <v>3</v>
      </c>
      <c r="F1906">
        <v>26</v>
      </c>
      <c r="G1906">
        <v>10</v>
      </c>
      <c r="H1906">
        <v>0</v>
      </c>
      <c r="I1906">
        <v>1</v>
      </c>
      <c r="J1906">
        <v>10.706182480000001</v>
      </c>
      <c r="K1906">
        <v>14.62571335</v>
      </c>
      <c r="N1906">
        <v>0</v>
      </c>
      <c r="O1906">
        <v>0</v>
      </c>
    </row>
    <row r="1907" spans="1:15">
      <c r="A1907">
        <v>0.42147319300000002</v>
      </c>
      <c r="B1907">
        <v>-1.3018623330000001</v>
      </c>
      <c r="C1907">
        <v>0.210736597</v>
      </c>
      <c r="D1907">
        <v>-0.62858182699999998</v>
      </c>
      <c r="E1907">
        <v>4</v>
      </c>
      <c r="F1907">
        <v>38</v>
      </c>
      <c r="G1907">
        <v>12</v>
      </c>
      <c r="H1907">
        <v>1</v>
      </c>
      <c r="I1907">
        <v>2</v>
      </c>
      <c r="J1907">
        <v>31.657018659999999</v>
      </c>
      <c r="K1907">
        <v>23.128839490000001</v>
      </c>
      <c r="L1907">
        <v>23.128839490000001</v>
      </c>
      <c r="M1907">
        <v>3.1410803789999999</v>
      </c>
      <c r="N1907">
        <v>1</v>
      </c>
      <c r="O1907">
        <v>3.1410803789999999</v>
      </c>
    </row>
    <row r="1908" spans="1:15">
      <c r="A1908">
        <v>0.21897798900000001</v>
      </c>
      <c r="B1908">
        <v>-0.144197296</v>
      </c>
      <c r="C1908">
        <v>0.10948899400000001</v>
      </c>
      <c r="D1908">
        <v>5.1581650999999999E-2</v>
      </c>
      <c r="E1908">
        <v>5</v>
      </c>
      <c r="F1908">
        <v>39</v>
      </c>
      <c r="G1908">
        <v>16</v>
      </c>
      <c r="H1908">
        <v>1</v>
      </c>
      <c r="I1908">
        <v>3</v>
      </c>
      <c r="J1908">
        <v>48.218978880000002</v>
      </c>
      <c r="K1908">
        <v>26.113868709999998</v>
      </c>
      <c r="L1908">
        <v>26.113868709999998</v>
      </c>
      <c r="M1908">
        <v>3.262466431</v>
      </c>
      <c r="N1908">
        <v>1</v>
      </c>
      <c r="O1908">
        <v>3.262466431</v>
      </c>
    </row>
    <row r="1909" spans="1:15">
      <c r="A1909">
        <v>0.89000565300000001</v>
      </c>
      <c r="B1909">
        <v>0.82184424099999998</v>
      </c>
      <c r="C1909">
        <v>0.44500282600000002</v>
      </c>
      <c r="D1909">
        <v>1.210082109</v>
      </c>
      <c r="E1909">
        <v>6</v>
      </c>
      <c r="F1909">
        <v>32</v>
      </c>
      <c r="G1909">
        <v>10</v>
      </c>
      <c r="H1909">
        <v>1</v>
      </c>
      <c r="I1909">
        <v>1</v>
      </c>
      <c r="J1909">
        <v>44.820983890000001</v>
      </c>
      <c r="K1909">
        <v>22.740034099999999</v>
      </c>
      <c r="L1909">
        <v>22.740034099999999</v>
      </c>
      <c r="M1909">
        <v>3.1241269109999998</v>
      </c>
      <c r="N1909">
        <v>1</v>
      </c>
      <c r="O1909">
        <v>3.1241269109999998</v>
      </c>
    </row>
    <row r="1910" spans="1:15">
      <c r="A1910">
        <v>1.579433114</v>
      </c>
      <c r="B1910">
        <v>-0.40925093899999998</v>
      </c>
      <c r="C1910">
        <v>0.78971655699999999</v>
      </c>
      <c r="D1910">
        <v>0.820284923</v>
      </c>
      <c r="E1910">
        <v>7</v>
      </c>
      <c r="F1910">
        <v>36</v>
      </c>
      <c r="G1910">
        <v>12</v>
      </c>
      <c r="H1910">
        <v>1</v>
      </c>
      <c r="I1910">
        <v>3</v>
      </c>
      <c r="J1910">
        <v>53.24341965</v>
      </c>
      <c r="K1910">
        <v>29.676599499999998</v>
      </c>
      <c r="L1910">
        <v>29.676599499999998</v>
      </c>
      <c r="M1910">
        <v>3.3903589250000001</v>
      </c>
      <c r="N1910">
        <v>1</v>
      </c>
      <c r="O1910">
        <v>3.3903589250000001</v>
      </c>
    </row>
    <row r="1911" spans="1:15">
      <c r="A1911">
        <v>0.71684730600000002</v>
      </c>
      <c r="B1911">
        <v>-0.33537239600000002</v>
      </c>
      <c r="C1911">
        <v>0.35842365300000001</v>
      </c>
      <c r="D1911">
        <v>0.265974671</v>
      </c>
      <c r="E1911">
        <v>8</v>
      </c>
      <c r="F1911">
        <v>48</v>
      </c>
      <c r="G1911">
        <v>16</v>
      </c>
      <c r="H1911">
        <v>1</v>
      </c>
      <c r="I1911">
        <v>1</v>
      </c>
      <c r="J1911">
        <v>44.391696930000002</v>
      </c>
      <c r="K1911">
        <v>30.901082989999999</v>
      </c>
      <c r="L1911">
        <v>30.901082989999999</v>
      </c>
      <c r="M1911">
        <v>3.4307911400000002</v>
      </c>
      <c r="N1911">
        <v>1</v>
      </c>
      <c r="O1911">
        <v>3.4307911400000002</v>
      </c>
    </row>
    <row r="1912" spans="1:15">
      <c r="A1912">
        <v>-1.4522806509999999</v>
      </c>
      <c r="B1912">
        <v>2.2328379439999999</v>
      </c>
      <c r="C1912">
        <v>-0.726140326</v>
      </c>
      <c r="D1912">
        <v>0.56496802400000001</v>
      </c>
      <c r="E1912">
        <v>9</v>
      </c>
      <c r="F1912">
        <v>40</v>
      </c>
      <c r="G1912">
        <v>16</v>
      </c>
      <c r="H1912">
        <v>1</v>
      </c>
      <c r="I1912">
        <v>5</v>
      </c>
      <c r="J1912">
        <v>64.779617310000006</v>
      </c>
      <c r="K1912">
        <v>16.28631592</v>
      </c>
      <c r="L1912">
        <v>16.28631592</v>
      </c>
      <c r="M1912">
        <v>2.7903251650000001</v>
      </c>
      <c r="N1912">
        <v>1</v>
      </c>
      <c r="O1912">
        <v>2.7903251650000001</v>
      </c>
    </row>
    <row r="1913" spans="1:15">
      <c r="A1913">
        <v>1.4950063010000001</v>
      </c>
      <c r="B1913">
        <v>6.3789570000000004E-2</v>
      </c>
      <c r="C1913">
        <v>0.74750315000000001</v>
      </c>
      <c r="D1913">
        <v>1.097025967</v>
      </c>
      <c r="E1913">
        <v>0</v>
      </c>
      <c r="F1913">
        <v>53</v>
      </c>
      <c r="G1913">
        <v>10</v>
      </c>
      <c r="H1913">
        <v>1</v>
      </c>
      <c r="I1913">
        <v>0</v>
      </c>
      <c r="J1913">
        <v>46.864311219999998</v>
      </c>
      <c r="K1913">
        <v>30.570037840000001</v>
      </c>
      <c r="L1913">
        <v>30.570037840000001</v>
      </c>
      <c r="M1913">
        <v>3.4200203419999999</v>
      </c>
      <c r="N1913">
        <v>1</v>
      </c>
      <c r="O1913">
        <v>3.4200203419999999</v>
      </c>
    </row>
    <row r="1914" spans="1:15">
      <c r="A1914">
        <v>0.368052459</v>
      </c>
      <c r="B1914">
        <v>-1.0239288209999999</v>
      </c>
      <c r="C1914">
        <v>0.18402622900000001</v>
      </c>
      <c r="D1914">
        <v>-0.46866793800000001</v>
      </c>
      <c r="E1914">
        <v>1</v>
      </c>
      <c r="F1914">
        <v>24</v>
      </c>
      <c r="G1914">
        <v>20</v>
      </c>
      <c r="H1914">
        <v>0</v>
      </c>
      <c r="I1914">
        <v>2</v>
      </c>
      <c r="J1914">
        <v>28.975984570000001</v>
      </c>
      <c r="K1914">
        <v>28.008314129999999</v>
      </c>
      <c r="N1914">
        <v>0</v>
      </c>
      <c r="O1914">
        <v>0</v>
      </c>
    </row>
    <row r="1915" spans="1:15">
      <c r="A1915">
        <v>-1.600498765</v>
      </c>
      <c r="B1915">
        <v>-0.64712858200000001</v>
      </c>
      <c r="C1915">
        <v>-0.80024938300000004</v>
      </c>
      <c r="D1915">
        <v>-1.5857462339999999</v>
      </c>
      <c r="E1915">
        <v>2</v>
      </c>
      <c r="F1915">
        <v>42</v>
      </c>
      <c r="G1915">
        <v>16</v>
      </c>
      <c r="H1915">
        <v>0</v>
      </c>
      <c r="I1915">
        <v>1</v>
      </c>
      <c r="J1915">
        <v>14.77104473</v>
      </c>
      <c r="K1915">
        <v>15.797007560000001</v>
      </c>
      <c r="N1915">
        <v>0</v>
      </c>
      <c r="O1915">
        <v>0</v>
      </c>
    </row>
    <row r="1916" spans="1:15">
      <c r="A1916">
        <v>0.26342454999999998</v>
      </c>
      <c r="B1916">
        <v>0.96852238800000001</v>
      </c>
      <c r="C1916">
        <v>0.13171227499999999</v>
      </c>
      <c r="D1916">
        <v>0.87352502300000001</v>
      </c>
      <c r="E1916">
        <v>3</v>
      </c>
      <c r="F1916">
        <v>35</v>
      </c>
      <c r="G1916">
        <v>10</v>
      </c>
      <c r="H1916">
        <v>0</v>
      </c>
      <c r="I1916">
        <v>3</v>
      </c>
      <c r="J1916">
        <v>46.9822998</v>
      </c>
      <c r="K1916">
        <v>19.580547330000002</v>
      </c>
      <c r="L1916">
        <v>19.580547330000002</v>
      </c>
      <c r="M1916">
        <v>2.9745366569999998</v>
      </c>
      <c r="N1916">
        <v>1</v>
      </c>
      <c r="O1916">
        <v>2.9745366569999998</v>
      </c>
    </row>
    <row r="1917" spans="1:15">
      <c r="A1917">
        <v>-0.19441124400000001</v>
      </c>
      <c r="B1917">
        <v>-1.2413815180000001</v>
      </c>
      <c r="C1917">
        <v>-9.7205622000000005E-2</v>
      </c>
      <c r="D1917">
        <v>-1.018864185</v>
      </c>
      <c r="E1917">
        <v>4</v>
      </c>
      <c r="F1917">
        <v>40</v>
      </c>
      <c r="G1917">
        <v>10</v>
      </c>
      <c r="H1917">
        <v>1</v>
      </c>
      <c r="I1917">
        <v>0</v>
      </c>
      <c r="J1917">
        <v>16.273630140000002</v>
      </c>
      <c r="K1917">
        <v>17.833532330000001</v>
      </c>
      <c r="N1917">
        <v>0</v>
      </c>
      <c r="O1917">
        <v>0</v>
      </c>
    </row>
    <row r="1918" spans="1:15">
      <c r="A1918">
        <v>0.45671805500000001</v>
      </c>
      <c r="B1918">
        <v>-0.40770790800000001</v>
      </c>
      <c r="C1918">
        <v>0.22835902699999999</v>
      </c>
      <c r="D1918">
        <v>3.1580283000000001E-2</v>
      </c>
      <c r="E1918">
        <v>5</v>
      </c>
      <c r="F1918">
        <v>34</v>
      </c>
      <c r="G1918">
        <v>12</v>
      </c>
      <c r="H1918">
        <v>1</v>
      </c>
      <c r="I1918">
        <v>3</v>
      </c>
      <c r="J1918">
        <v>42.978961939999998</v>
      </c>
      <c r="K1918">
        <v>22.540308</v>
      </c>
      <c r="L1918">
        <v>22.540308</v>
      </c>
      <c r="M1918">
        <v>3.115305185</v>
      </c>
      <c r="N1918">
        <v>1</v>
      </c>
      <c r="O1918">
        <v>3.115305185</v>
      </c>
    </row>
    <row r="1919" spans="1:15">
      <c r="A1919">
        <v>0.70112651599999998</v>
      </c>
      <c r="B1919">
        <v>-0.29015880599999999</v>
      </c>
      <c r="C1919">
        <v>0.35056325799999999</v>
      </c>
      <c r="D1919">
        <v>0.28704337299999999</v>
      </c>
      <c r="E1919">
        <v>6</v>
      </c>
      <c r="F1919">
        <v>38</v>
      </c>
      <c r="G1919">
        <v>12</v>
      </c>
      <c r="H1919">
        <v>0</v>
      </c>
      <c r="I1919">
        <v>2</v>
      </c>
      <c r="J1919">
        <v>37.644519809999998</v>
      </c>
      <c r="K1919">
        <v>24.80675888</v>
      </c>
      <c r="L1919">
        <v>24.80675888</v>
      </c>
      <c r="M1919">
        <v>3.2111160760000002</v>
      </c>
      <c r="N1919">
        <v>1</v>
      </c>
      <c r="O1919">
        <v>3.2111160760000002</v>
      </c>
    </row>
    <row r="1920" spans="1:15">
      <c r="A1920">
        <v>-0.44659478800000002</v>
      </c>
      <c r="B1920">
        <v>-1.739689942</v>
      </c>
      <c r="C1920">
        <v>-0.22329739400000001</v>
      </c>
      <c r="D1920">
        <v>-1.5503568080000001</v>
      </c>
      <c r="E1920">
        <v>7</v>
      </c>
      <c r="F1920">
        <v>40</v>
      </c>
      <c r="G1920">
        <v>12</v>
      </c>
      <c r="H1920">
        <v>1</v>
      </c>
      <c r="I1920">
        <v>2</v>
      </c>
      <c r="J1920">
        <v>21.395717619999999</v>
      </c>
      <c r="K1920">
        <v>18.320430760000001</v>
      </c>
      <c r="N1920">
        <v>0</v>
      </c>
      <c r="O1920">
        <v>0</v>
      </c>
    </row>
    <row r="1921" spans="1:15">
      <c r="A1921">
        <v>-0.30678344299999999</v>
      </c>
      <c r="B1921">
        <v>-1.223706532</v>
      </c>
      <c r="C1921">
        <v>-0.15339172100000001</v>
      </c>
      <c r="D1921">
        <v>-1.0853556369999999</v>
      </c>
      <c r="E1921">
        <v>8</v>
      </c>
      <c r="F1921">
        <v>38</v>
      </c>
      <c r="G1921">
        <v>16</v>
      </c>
      <c r="H1921">
        <v>1</v>
      </c>
      <c r="I1921">
        <v>4</v>
      </c>
      <c r="J1921">
        <v>39.175731659999997</v>
      </c>
      <c r="K1921">
        <v>22.759300230000001</v>
      </c>
      <c r="L1921">
        <v>22.759300230000001</v>
      </c>
      <c r="M1921">
        <v>3.1249737739999999</v>
      </c>
      <c r="N1921">
        <v>1</v>
      </c>
      <c r="O1921">
        <v>3.1249737739999999</v>
      </c>
    </row>
    <row r="1922" spans="1:15">
      <c r="A1922">
        <v>-0.74000597099999998</v>
      </c>
      <c r="B1922">
        <v>1.6791810170000001</v>
      </c>
      <c r="C1922">
        <v>-0.37000298500000001</v>
      </c>
      <c r="D1922">
        <v>0.672617346</v>
      </c>
      <c r="E1922">
        <v>9</v>
      </c>
      <c r="F1922">
        <v>38</v>
      </c>
      <c r="G1922">
        <v>20</v>
      </c>
      <c r="H1922">
        <v>1</v>
      </c>
      <c r="I1922">
        <v>3</v>
      </c>
      <c r="J1922">
        <v>58.27140808</v>
      </c>
      <c r="K1922">
        <v>24.159963609999998</v>
      </c>
      <c r="L1922">
        <v>24.159963609999998</v>
      </c>
      <c r="M1922">
        <v>3.1846969129999998</v>
      </c>
      <c r="N1922">
        <v>1</v>
      </c>
      <c r="O1922">
        <v>3.1846969129999998</v>
      </c>
    </row>
    <row r="1923" spans="1:15">
      <c r="A1923">
        <v>8.0034345000000007E-2</v>
      </c>
      <c r="B1923">
        <v>1.965856638</v>
      </c>
      <c r="C1923">
        <v>4.0017173000000003E-2</v>
      </c>
      <c r="D1923">
        <v>1.453200523</v>
      </c>
      <c r="E1923">
        <v>0</v>
      </c>
      <c r="F1923">
        <v>25</v>
      </c>
      <c r="G1923">
        <v>10</v>
      </c>
      <c r="H1923">
        <v>0</v>
      </c>
      <c r="I1923">
        <v>3</v>
      </c>
      <c r="J1923">
        <v>49.938407900000001</v>
      </c>
      <c r="K1923">
        <v>16.48020554</v>
      </c>
      <c r="L1923">
        <v>16.48020554</v>
      </c>
      <c r="M1923">
        <v>2.8021600250000001</v>
      </c>
      <c r="N1923">
        <v>1</v>
      </c>
      <c r="O1923">
        <v>2.8021600250000001</v>
      </c>
    </row>
    <row r="1924" spans="1:15">
      <c r="A1924">
        <v>-0.95396454399999997</v>
      </c>
      <c r="B1924">
        <v>-2.3508439999999999E-2</v>
      </c>
      <c r="C1924">
        <v>-0.47698227199999998</v>
      </c>
      <c r="D1924">
        <v>-0.687794079</v>
      </c>
      <c r="E1924">
        <v>1</v>
      </c>
      <c r="F1924">
        <v>29</v>
      </c>
      <c r="G1924">
        <v>10</v>
      </c>
      <c r="H1924">
        <v>0</v>
      </c>
      <c r="I1924">
        <v>3</v>
      </c>
      <c r="J1924">
        <v>25.846471789999999</v>
      </c>
      <c r="K1924">
        <v>11.07621288</v>
      </c>
      <c r="N1924">
        <v>0</v>
      </c>
      <c r="O1924">
        <v>0</v>
      </c>
    </row>
    <row r="1925" spans="1:15">
      <c r="A1925">
        <v>1.146922569</v>
      </c>
      <c r="B1925">
        <v>-0.54667982999999998</v>
      </c>
      <c r="C1925">
        <v>0.57346128399999996</v>
      </c>
      <c r="D1925">
        <v>0.41837068700000002</v>
      </c>
      <c r="E1925">
        <v>2</v>
      </c>
      <c r="F1925">
        <v>25</v>
      </c>
      <c r="G1925">
        <v>12</v>
      </c>
      <c r="H1925">
        <v>0</v>
      </c>
      <c r="I1925">
        <v>3</v>
      </c>
      <c r="J1925">
        <v>39.02044678</v>
      </c>
      <c r="K1925">
        <v>24.88153458</v>
      </c>
      <c r="L1925">
        <v>24.88153458</v>
      </c>
      <c r="M1925">
        <v>3.2141258719999999</v>
      </c>
      <c r="N1925">
        <v>1</v>
      </c>
      <c r="O1925">
        <v>3.2141258719999999</v>
      </c>
    </row>
    <row r="1926" spans="1:15">
      <c r="A1926">
        <v>0.291588132</v>
      </c>
      <c r="B1926">
        <v>-1.116025523</v>
      </c>
      <c r="C1926">
        <v>0.145794066</v>
      </c>
      <c r="D1926">
        <v>-0.58790069499999997</v>
      </c>
      <c r="E1926">
        <v>3</v>
      </c>
      <c r="F1926">
        <v>42</v>
      </c>
      <c r="G1926">
        <v>10</v>
      </c>
      <c r="H1926">
        <v>0</v>
      </c>
      <c r="I1926">
        <v>2</v>
      </c>
      <c r="J1926">
        <v>27.245191569999999</v>
      </c>
      <c r="K1926">
        <v>21.149528499999999</v>
      </c>
      <c r="N1926">
        <v>0</v>
      </c>
      <c r="O1926">
        <v>0</v>
      </c>
    </row>
    <row r="1927" spans="1:15">
      <c r="A1927">
        <v>-1.0501245690000001</v>
      </c>
      <c r="B1927">
        <v>0.56033752999999997</v>
      </c>
      <c r="C1927">
        <v>-0.52506228399999999</v>
      </c>
      <c r="D1927">
        <v>-0.34057090200000001</v>
      </c>
      <c r="E1927">
        <v>4</v>
      </c>
      <c r="F1927">
        <v>45</v>
      </c>
      <c r="G1927">
        <v>12</v>
      </c>
      <c r="H1927">
        <v>1</v>
      </c>
      <c r="I1927">
        <v>2</v>
      </c>
      <c r="J1927">
        <v>37.913150790000003</v>
      </c>
      <c r="K1927">
        <v>15.69925213</v>
      </c>
      <c r="L1927">
        <v>15.69925213</v>
      </c>
      <c r="M1927">
        <v>2.7536129950000001</v>
      </c>
      <c r="N1927">
        <v>1</v>
      </c>
      <c r="O1927">
        <v>2.7536129950000001</v>
      </c>
    </row>
    <row r="1928" spans="1:15">
      <c r="A1928">
        <v>0.53836788199999996</v>
      </c>
      <c r="B1928">
        <v>-1.3884026039999999</v>
      </c>
      <c r="C1928">
        <v>0.26918394099999998</v>
      </c>
      <c r="D1928">
        <v>-0.60784321399999997</v>
      </c>
      <c r="E1928">
        <v>5</v>
      </c>
      <c r="F1928">
        <v>31</v>
      </c>
      <c r="G1928">
        <v>16</v>
      </c>
      <c r="H1928">
        <v>1</v>
      </c>
      <c r="I1928">
        <v>1</v>
      </c>
      <c r="J1928">
        <v>27.10588074</v>
      </c>
      <c r="K1928">
        <v>26.43020821</v>
      </c>
      <c r="N1928">
        <v>0</v>
      </c>
      <c r="O1928">
        <v>0</v>
      </c>
    </row>
    <row r="1929" spans="1:15">
      <c r="A1929">
        <v>1.9349686319999999</v>
      </c>
      <c r="B1929">
        <v>-0.33030067499999999</v>
      </c>
      <c r="C1929">
        <v>0.96748431599999996</v>
      </c>
      <c r="D1929">
        <v>1.126495469</v>
      </c>
      <c r="E1929">
        <v>6</v>
      </c>
      <c r="F1929">
        <v>48</v>
      </c>
      <c r="G1929">
        <v>10</v>
      </c>
      <c r="H1929">
        <v>1</v>
      </c>
      <c r="I1929">
        <v>1</v>
      </c>
      <c r="J1929">
        <v>50.217945100000001</v>
      </c>
      <c r="K1929">
        <v>32.209812159999998</v>
      </c>
      <c r="L1929">
        <v>32.209812159999998</v>
      </c>
      <c r="M1929">
        <v>3.4722712040000001</v>
      </c>
      <c r="N1929">
        <v>1</v>
      </c>
      <c r="O1929">
        <v>3.4722712040000001</v>
      </c>
    </row>
    <row r="1930" spans="1:15">
      <c r="A1930">
        <v>0.343329312</v>
      </c>
      <c r="B1930">
        <v>1.2601217579999999</v>
      </c>
      <c r="C1930">
        <v>0.171664656</v>
      </c>
      <c r="D1930">
        <v>1.1369406449999999</v>
      </c>
      <c r="E1930">
        <v>7</v>
      </c>
      <c r="F1930">
        <v>34</v>
      </c>
      <c r="G1930">
        <v>12</v>
      </c>
      <c r="H1930">
        <v>1</v>
      </c>
      <c r="I1930">
        <v>2</v>
      </c>
      <c r="J1930">
        <v>51.243286130000001</v>
      </c>
      <c r="K1930">
        <v>21.859975810000002</v>
      </c>
      <c r="L1930">
        <v>21.859975810000002</v>
      </c>
      <c r="M1930">
        <v>3.0846574310000001</v>
      </c>
      <c r="N1930">
        <v>1</v>
      </c>
      <c r="O1930">
        <v>3.0846574310000001</v>
      </c>
    </row>
    <row r="1931" spans="1:15">
      <c r="A1931">
        <v>-0.79776223000000002</v>
      </c>
      <c r="B1931">
        <v>-0.48324908999999999</v>
      </c>
      <c r="C1931">
        <v>-0.39888111500000001</v>
      </c>
      <c r="D1931">
        <v>-0.90459229500000005</v>
      </c>
      <c r="E1931">
        <v>8</v>
      </c>
      <c r="F1931">
        <v>36</v>
      </c>
      <c r="G1931">
        <v>16</v>
      </c>
      <c r="H1931">
        <v>1</v>
      </c>
      <c r="I1931">
        <v>1</v>
      </c>
      <c r="J1931">
        <v>25.544893259999998</v>
      </c>
      <c r="K1931">
        <v>19.413427349999999</v>
      </c>
      <c r="N1931">
        <v>0</v>
      </c>
      <c r="O1931">
        <v>0</v>
      </c>
    </row>
    <row r="1932" spans="1:15">
      <c r="A1932">
        <v>1.8243781429999999</v>
      </c>
      <c r="B1932">
        <v>-1.291399467</v>
      </c>
      <c r="C1932">
        <v>0.91218907100000002</v>
      </c>
      <c r="D1932">
        <v>0.365760325</v>
      </c>
      <c r="E1932">
        <v>9</v>
      </c>
      <c r="F1932">
        <v>38</v>
      </c>
      <c r="G1932">
        <v>12</v>
      </c>
      <c r="H1932">
        <v>1</v>
      </c>
      <c r="I1932">
        <v>1</v>
      </c>
      <c r="J1932">
        <v>38.589122770000003</v>
      </c>
      <c r="K1932">
        <v>31.54626846</v>
      </c>
      <c r="L1932">
        <v>31.54626846</v>
      </c>
      <c r="M1932">
        <v>3.4514553549999998</v>
      </c>
      <c r="N1932">
        <v>1</v>
      </c>
      <c r="O1932">
        <v>3.4514553549999998</v>
      </c>
    </row>
    <row r="1933" spans="1:15">
      <c r="A1933">
        <v>1.2675326849999999</v>
      </c>
      <c r="B1933">
        <v>-0.25780884799999998</v>
      </c>
      <c r="C1933">
        <v>0.63376634300000001</v>
      </c>
      <c r="D1933">
        <v>0.70848273900000003</v>
      </c>
      <c r="E1933">
        <v>0</v>
      </c>
      <c r="F1933">
        <v>53</v>
      </c>
      <c r="G1933">
        <v>10</v>
      </c>
      <c r="H1933">
        <v>1</v>
      </c>
      <c r="I1933">
        <v>0</v>
      </c>
      <c r="J1933">
        <v>42.201793670000001</v>
      </c>
      <c r="K1933">
        <v>29.20519638</v>
      </c>
      <c r="L1933">
        <v>29.20519638</v>
      </c>
      <c r="M1933">
        <v>3.3743467329999999</v>
      </c>
      <c r="N1933">
        <v>1</v>
      </c>
      <c r="O1933">
        <v>3.3743467329999999</v>
      </c>
    </row>
    <row r="1934" spans="1:15">
      <c r="A1934">
        <v>-0.44041388300000001</v>
      </c>
      <c r="B1934">
        <v>-0.68330197299999995</v>
      </c>
      <c r="C1934">
        <v>-0.22020694099999999</v>
      </c>
      <c r="D1934">
        <v>-0.79536052899999998</v>
      </c>
      <c r="E1934">
        <v>1</v>
      </c>
      <c r="F1934">
        <v>24</v>
      </c>
      <c r="G1934">
        <v>12</v>
      </c>
      <c r="H1934">
        <v>0</v>
      </c>
      <c r="I1934">
        <v>1</v>
      </c>
      <c r="J1934">
        <v>14.0556736</v>
      </c>
      <c r="K1934">
        <v>15.15751648</v>
      </c>
      <c r="N1934">
        <v>0</v>
      </c>
      <c r="O1934">
        <v>0</v>
      </c>
    </row>
    <row r="1935" spans="1:15">
      <c r="A1935">
        <v>1.0216318959999999</v>
      </c>
      <c r="B1935">
        <v>2.0006497169999999</v>
      </c>
      <c r="C1935">
        <v>0.51081594799999996</v>
      </c>
      <c r="D1935">
        <v>2.1403133809999999</v>
      </c>
      <c r="E1935">
        <v>2</v>
      </c>
      <c r="F1935">
        <v>36</v>
      </c>
      <c r="G1935">
        <v>12</v>
      </c>
      <c r="H1935">
        <v>1</v>
      </c>
      <c r="I1935">
        <v>1</v>
      </c>
      <c r="J1935">
        <v>59.083759309999998</v>
      </c>
      <c r="K1935">
        <v>26.329792019999999</v>
      </c>
      <c r="L1935">
        <v>26.329792019999999</v>
      </c>
      <c r="M1935">
        <v>3.2707011700000002</v>
      </c>
      <c r="N1935">
        <v>1</v>
      </c>
      <c r="O1935">
        <v>3.2707011700000002</v>
      </c>
    </row>
    <row r="1936" spans="1:15">
      <c r="A1936">
        <v>-0.59151352099999999</v>
      </c>
      <c r="B1936">
        <v>0.318226489</v>
      </c>
      <c r="C1936">
        <v>-0.29575676000000001</v>
      </c>
      <c r="D1936">
        <v>-0.18998912500000001</v>
      </c>
      <c r="E1936">
        <v>3</v>
      </c>
      <c r="F1936">
        <v>26</v>
      </c>
      <c r="G1936">
        <v>16</v>
      </c>
      <c r="H1936">
        <v>1</v>
      </c>
      <c r="I1936">
        <v>1</v>
      </c>
      <c r="J1936">
        <v>30.120130540000002</v>
      </c>
      <c r="K1936">
        <v>18.650918959999998</v>
      </c>
      <c r="L1936">
        <v>18.650918959999998</v>
      </c>
      <c r="M1936">
        <v>2.9258954519999998</v>
      </c>
      <c r="N1936">
        <v>1</v>
      </c>
      <c r="O1936">
        <v>2.9258954519999998</v>
      </c>
    </row>
    <row r="1937" spans="1:15">
      <c r="A1937">
        <v>0.35136879999999998</v>
      </c>
      <c r="B1937">
        <v>1.117319996</v>
      </c>
      <c r="C1937">
        <v>0.17568439999999999</v>
      </c>
      <c r="D1937">
        <v>1.04112414</v>
      </c>
      <c r="E1937">
        <v>4</v>
      </c>
      <c r="F1937">
        <v>28</v>
      </c>
      <c r="G1937">
        <v>12</v>
      </c>
      <c r="H1937">
        <v>1</v>
      </c>
      <c r="I1937">
        <v>1</v>
      </c>
      <c r="J1937">
        <v>42.693489069999998</v>
      </c>
      <c r="K1937">
        <v>20.708211899999998</v>
      </c>
      <c r="L1937">
        <v>20.708211899999998</v>
      </c>
      <c r="M1937">
        <v>3.0305302140000001</v>
      </c>
      <c r="N1937">
        <v>1</v>
      </c>
      <c r="O1937">
        <v>3.0305302140000001</v>
      </c>
    </row>
    <row r="1938" spans="1:15">
      <c r="A1938">
        <v>-0.37477102099999998</v>
      </c>
      <c r="B1938">
        <v>4.4814451999999998E-2</v>
      </c>
      <c r="C1938">
        <v>-0.18738551000000001</v>
      </c>
      <c r="D1938">
        <v>-0.23179749299999999</v>
      </c>
      <c r="E1938">
        <v>5</v>
      </c>
      <c r="F1938">
        <v>34</v>
      </c>
      <c r="G1938">
        <v>12</v>
      </c>
      <c r="H1938">
        <v>1</v>
      </c>
      <c r="I1938">
        <v>0</v>
      </c>
      <c r="J1938">
        <v>24.818429949999999</v>
      </c>
      <c r="K1938">
        <v>17.55137444</v>
      </c>
      <c r="N1938">
        <v>0</v>
      </c>
      <c r="O1938">
        <v>0</v>
      </c>
    </row>
    <row r="1939" spans="1:15">
      <c r="A1939">
        <v>0.44690866299999998</v>
      </c>
      <c r="B1939">
        <v>5.5871347000000002E-2</v>
      </c>
      <c r="C1939">
        <v>0.22345433100000001</v>
      </c>
      <c r="D1939">
        <v>0.35408978000000002</v>
      </c>
      <c r="E1939">
        <v>6</v>
      </c>
      <c r="F1939">
        <v>47</v>
      </c>
      <c r="G1939">
        <v>16</v>
      </c>
      <c r="H1939">
        <v>1</v>
      </c>
      <c r="I1939">
        <v>1</v>
      </c>
      <c r="J1939">
        <v>45.049076079999999</v>
      </c>
      <c r="K1939">
        <v>29.08145142</v>
      </c>
      <c r="L1939">
        <v>29.08145142</v>
      </c>
      <c r="M1939">
        <v>3.3701004980000002</v>
      </c>
      <c r="N1939">
        <v>1</v>
      </c>
      <c r="O1939">
        <v>3.3701004980000002</v>
      </c>
    </row>
    <row r="1940" spans="1:15">
      <c r="A1940">
        <v>1.7345286040000001</v>
      </c>
      <c r="B1940">
        <v>0.70902336899999996</v>
      </c>
      <c r="C1940">
        <v>0.86726430200000004</v>
      </c>
      <c r="D1940">
        <v>1.7240139670000001</v>
      </c>
      <c r="E1940">
        <v>7</v>
      </c>
      <c r="F1940">
        <v>34</v>
      </c>
      <c r="G1940">
        <v>16</v>
      </c>
      <c r="H1940">
        <v>1</v>
      </c>
      <c r="I1940">
        <v>3</v>
      </c>
      <c r="J1940">
        <v>66.288169859999996</v>
      </c>
      <c r="K1940">
        <v>34.207172389999997</v>
      </c>
      <c r="L1940">
        <v>34.207172389999997</v>
      </c>
      <c r="M1940">
        <v>3.5324354169999999</v>
      </c>
      <c r="N1940">
        <v>1</v>
      </c>
      <c r="O1940">
        <v>3.5324354169999999</v>
      </c>
    </row>
    <row r="1941" spans="1:15">
      <c r="A1941">
        <v>0.65874496199999999</v>
      </c>
      <c r="B1941">
        <v>1.6448011170000001</v>
      </c>
      <c r="C1941">
        <v>0.32937248099999999</v>
      </c>
      <c r="D1941">
        <v>1.632172881</v>
      </c>
      <c r="E1941">
        <v>8</v>
      </c>
      <c r="F1941">
        <v>44</v>
      </c>
      <c r="G1941">
        <v>16</v>
      </c>
      <c r="H1941">
        <v>1</v>
      </c>
      <c r="I1941">
        <v>1</v>
      </c>
      <c r="J1941">
        <v>59.186073299999997</v>
      </c>
      <c r="K1941">
        <v>29.752470020000001</v>
      </c>
      <c r="L1941">
        <v>29.752470020000001</v>
      </c>
      <c r="M1941">
        <v>3.3929121489999998</v>
      </c>
      <c r="N1941">
        <v>1</v>
      </c>
      <c r="O1941">
        <v>3.3929121489999998</v>
      </c>
    </row>
    <row r="1942" spans="1:15">
      <c r="A1942">
        <v>0.63220861399999995</v>
      </c>
      <c r="B1942">
        <v>0.97913752600000004</v>
      </c>
      <c r="C1942">
        <v>0.31610430699999997</v>
      </c>
      <c r="D1942">
        <v>1.140498005</v>
      </c>
      <c r="E1942">
        <v>9</v>
      </c>
      <c r="F1942">
        <v>43</v>
      </c>
      <c r="G1942">
        <v>16</v>
      </c>
      <c r="H1942">
        <v>1</v>
      </c>
      <c r="I1942">
        <v>3</v>
      </c>
      <c r="J1942">
        <v>62.885974879999999</v>
      </c>
      <c r="K1942">
        <v>29.393251419999999</v>
      </c>
      <c r="L1942">
        <v>29.393251419999999</v>
      </c>
      <c r="M1942">
        <v>3.3807651999999999</v>
      </c>
      <c r="N1942">
        <v>1</v>
      </c>
      <c r="O1942">
        <v>3.3807651999999999</v>
      </c>
    </row>
    <row r="1943" spans="1:15">
      <c r="A1943">
        <v>-0.14527352099999999</v>
      </c>
      <c r="B1943">
        <v>1.438904902</v>
      </c>
      <c r="C1943">
        <v>-7.2636759999999995E-2</v>
      </c>
      <c r="D1943">
        <v>0.920260882</v>
      </c>
      <c r="E1943">
        <v>0</v>
      </c>
      <c r="F1943">
        <v>23</v>
      </c>
      <c r="G1943">
        <v>16</v>
      </c>
      <c r="H1943">
        <v>0</v>
      </c>
      <c r="I1943">
        <v>3</v>
      </c>
      <c r="J1943">
        <v>47.24312973</v>
      </c>
      <c r="K1943">
        <v>20.728359220000002</v>
      </c>
      <c r="L1943">
        <v>20.728359220000002</v>
      </c>
      <c r="M1943">
        <v>3.0315027240000001</v>
      </c>
      <c r="N1943">
        <v>1</v>
      </c>
      <c r="O1943">
        <v>3.0315027240000001</v>
      </c>
    </row>
    <row r="1944" spans="1:15">
      <c r="A1944">
        <v>-0.20052798599999999</v>
      </c>
      <c r="B1944">
        <v>-5.1151469999999996E-3</v>
      </c>
      <c r="C1944">
        <v>-0.100263993</v>
      </c>
      <c r="D1944">
        <v>-0.144700987</v>
      </c>
      <c r="E1944">
        <v>1</v>
      </c>
      <c r="F1944">
        <v>30</v>
      </c>
      <c r="G1944">
        <v>10</v>
      </c>
      <c r="H1944">
        <v>1</v>
      </c>
      <c r="I1944">
        <v>2</v>
      </c>
      <c r="J1944">
        <v>32.763587950000002</v>
      </c>
      <c r="K1944">
        <v>15.79683208</v>
      </c>
      <c r="L1944">
        <v>15.79683208</v>
      </c>
      <c r="M1944">
        <v>2.7598094940000002</v>
      </c>
      <c r="N1944">
        <v>1</v>
      </c>
      <c r="O1944">
        <v>2.7598094940000002</v>
      </c>
    </row>
    <row r="1945" spans="1:15">
      <c r="A1945">
        <v>0.226603367</v>
      </c>
      <c r="B1945">
        <v>0.452413962</v>
      </c>
      <c r="C1945">
        <v>0.113301683</v>
      </c>
      <c r="D1945">
        <v>0.48088594099999998</v>
      </c>
      <c r="E1945">
        <v>2</v>
      </c>
      <c r="F1945">
        <v>31</v>
      </c>
      <c r="G1945">
        <v>16</v>
      </c>
      <c r="H1945">
        <v>0</v>
      </c>
      <c r="I1945">
        <v>2</v>
      </c>
      <c r="J1945">
        <v>40.170631409999999</v>
      </c>
      <c r="K1945">
        <v>24.559619900000001</v>
      </c>
      <c r="L1945">
        <v>24.559619900000001</v>
      </c>
      <c r="M1945">
        <v>3.2011036869999998</v>
      </c>
      <c r="N1945">
        <v>1</v>
      </c>
      <c r="O1945">
        <v>3.2011036869999998</v>
      </c>
    </row>
    <row r="1946" spans="1:15">
      <c r="A1946">
        <v>-0.13821741200000001</v>
      </c>
      <c r="B1946">
        <v>0.72701312699999998</v>
      </c>
      <c r="C1946">
        <v>-6.9108706000000006E-2</v>
      </c>
      <c r="D1946">
        <v>0.419368609</v>
      </c>
      <c r="E1946">
        <v>3</v>
      </c>
      <c r="F1946">
        <v>39</v>
      </c>
      <c r="G1946">
        <v>10</v>
      </c>
      <c r="H1946">
        <v>0</v>
      </c>
      <c r="I1946">
        <v>2</v>
      </c>
      <c r="J1946">
        <v>38.1324234</v>
      </c>
      <c r="K1946">
        <v>17.970695500000001</v>
      </c>
      <c r="L1946">
        <v>17.970695500000001</v>
      </c>
      <c r="M1946">
        <v>2.8887424469999998</v>
      </c>
      <c r="N1946">
        <v>1</v>
      </c>
      <c r="O1946">
        <v>2.8887424469999998</v>
      </c>
    </row>
    <row r="1947" spans="1:15">
      <c r="A1947">
        <v>-1.1844163430000001</v>
      </c>
      <c r="B1947">
        <v>0.16402745499999999</v>
      </c>
      <c r="C1947">
        <v>-0.59220817199999998</v>
      </c>
      <c r="D1947">
        <v>-0.71665171900000002</v>
      </c>
      <c r="E1947">
        <v>4</v>
      </c>
      <c r="F1947">
        <v>29</v>
      </c>
      <c r="G1947">
        <v>10</v>
      </c>
      <c r="H1947">
        <v>1</v>
      </c>
      <c r="I1947">
        <v>0</v>
      </c>
      <c r="J1947">
        <v>15.50017929</v>
      </c>
      <c r="K1947">
        <v>9.6935014719999995</v>
      </c>
      <c r="N1947">
        <v>0</v>
      </c>
      <c r="O1947">
        <v>0</v>
      </c>
    </row>
    <row r="1948" spans="1:15">
      <c r="A1948">
        <v>-0.54948182700000003</v>
      </c>
      <c r="B1948">
        <v>-1.3015391059999999</v>
      </c>
      <c r="C1948">
        <v>-0.27474091299999998</v>
      </c>
      <c r="D1948">
        <v>-1.3113939610000001</v>
      </c>
      <c r="E1948">
        <v>5</v>
      </c>
      <c r="F1948">
        <v>36</v>
      </c>
      <c r="G1948">
        <v>12</v>
      </c>
      <c r="H1948">
        <v>1</v>
      </c>
      <c r="I1948">
        <v>2</v>
      </c>
      <c r="J1948">
        <v>22.663272859999999</v>
      </c>
      <c r="K1948">
        <v>16.903108599999999</v>
      </c>
      <c r="N1948">
        <v>0</v>
      </c>
      <c r="O1948">
        <v>0</v>
      </c>
    </row>
    <row r="1949" spans="1:15">
      <c r="A1949">
        <v>-1.062869949</v>
      </c>
      <c r="B1949">
        <v>-0.41800011999999998</v>
      </c>
      <c r="C1949">
        <v>-0.53143497500000003</v>
      </c>
      <c r="D1949">
        <v>-1.044724124</v>
      </c>
      <c r="E1949">
        <v>6</v>
      </c>
      <c r="F1949">
        <v>38</v>
      </c>
      <c r="G1949">
        <v>10</v>
      </c>
      <c r="H1949">
        <v>1</v>
      </c>
      <c r="I1949">
        <v>4</v>
      </c>
      <c r="J1949">
        <v>35.163311</v>
      </c>
      <c r="K1949">
        <v>12.22278023</v>
      </c>
      <c r="L1949">
        <v>12.22278023</v>
      </c>
      <c r="M1949">
        <v>2.5033013820000001</v>
      </c>
      <c r="N1949">
        <v>1</v>
      </c>
      <c r="O1949">
        <v>2.5033013820000001</v>
      </c>
    </row>
    <row r="1950" spans="1:15">
      <c r="A1950">
        <v>0.37370536599999998</v>
      </c>
      <c r="B1950">
        <v>0.99059640599999998</v>
      </c>
      <c r="C1950">
        <v>0.18685268299999999</v>
      </c>
      <c r="D1950">
        <v>0.96679008899999996</v>
      </c>
      <c r="E1950">
        <v>7</v>
      </c>
      <c r="F1950">
        <v>37</v>
      </c>
      <c r="G1950">
        <v>12</v>
      </c>
      <c r="H1950">
        <v>1</v>
      </c>
      <c r="I1950">
        <v>0</v>
      </c>
      <c r="J1950">
        <v>40.401481629999999</v>
      </c>
      <c r="K1950">
        <v>22.642232889999999</v>
      </c>
      <c r="L1950">
        <v>22.642232889999999</v>
      </c>
      <c r="M1950">
        <v>3.1198167799999998</v>
      </c>
      <c r="N1950">
        <v>1</v>
      </c>
      <c r="O1950">
        <v>3.1198167799999998</v>
      </c>
    </row>
    <row r="1951" spans="1:15">
      <c r="A1951">
        <v>-0.249434133</v>
      </c>
      <c r="B1951">
        <v>-0.82297691799999995</v>
      </c>
      <c r="C1951">
        <v>-0.124717066</v>
      </c>
      <c r="D1951">
        <v>-0.76026142399999996</v>
      </c>
      <c r="E1951">
        <v>8</v>
      </c>
      <c r="F1951">
        <v>36</v>
      </c>
      <c r="G1951">
        <v>12</v>
      </c>
      <c r="H1951">
        <v>1</v>
      </c>
      <c r="I1951">
        <v>1</v>
      </c>
      <c r="J1951">
        <v>24.2768631</v>
      </c>
      <c r="K1951">
        <v>18.703395839999999</v>
      </c>
      <c r="N1951">
        <v>0</v>
      </c>
      <c r="O1951">
        <v>0</v>
      </c>
    </row>
    <row r="1952" spans="1:15">
      <c r="A1952">
        <v>1.2772290449999999</v>
      </c>
      <c r="B1952">
        <v>0.75830847199999996</v>
      </c>
      <c r="C1952">
        <v>0.63861452200000002</v>
      </c>
      <c r="D1952">
        <v>1.4373365309999999</v>
      </c>
      <c r="E1952">
        <v>9</v>
      </c>
      <c r="F1952">
        <v>58</v>
      </c>
      <c r="G1952">
        <v>16</v>
      </c>
      <c r="H1952">
        <v>1</v>
      </c>
      <c r="I1952">
        <v>1</v>
      </c>
      <c r="J1952">
        <v>62.44804001</v>
      </c>
      <c r="K1952">
        <v>36.263374329999998</v>
      </c>
      <c r="L1952">
        <v>36.263374329999998</v>
      </c>
      <c r="M1952">
        <v>3.5908081529999998</v>
      </c>
      <c r="N1952">
        <v>1</v>
      </c>
      <c r="O1952">
        <v>3.5908081529999998</v>
      </c>
    </row>
    <row r="1953" spans="1:15">
      <c r="A1953">
        <v>0.109080121</v>
      </c>
      <c r="B1953">
        <v>1.30292849</v>
      </c>
      <c r="C1953">
        <v>5.4540061000000001E-2</v>
      </c>
      <c r="D1953">
        <v>1.0025699880000001</v>
      </c>
      <c r="E1953">
        <v>0</v>
      </c>
      <c r="F1953">
        <v>31</v>
      </c>
      <c r="G1953">
        <v>10</v>
      </c>
      <c r="H1953">
        <v>0</v>
      </c>
      <c r="I1953">
        <v>3</v>
      </c>
      <c r="J1953">
        <v>46.930839540000001</v>
      </c>
      <c r="K1953">
        <v>17.85448074</v>
      </c>
      <c r="L1953">
        <v>17.85448074</v>
      </c>
      <c r="M1953">
        <v>2.8822546010000001</v>
      </c>
      <c r="N1953">
        <v>1</v>
      </c>
      <c r="O1953">
        <v>2.8822546010000001</v>
      </c>
    </row>
    <row r="1954" spans="1:15">
      <c r="A1954">
        <v>0.99202429700000005</v>
      </c>
      <c r="B1954">
        <v>-0.52849962100000003</v>
      </c>
      <c r="C1954">
        <v>0.49601214900000001</v>
      </c>
      <c r="D1954">
        <v>0.32232224199999998</v>
      </c>
      <c r="E1954">
        <v>1</v>
      </c>
      <c r="F1954">
        <v>22</v>
      </c>
      <c r="G1954">
        <v>10</v>
      </c>
      <c r="H1954">
        <v>1</v>
      </c>
      <c r="I1954">
        <v>1</v>
      </c>
      <c r="J1954">
        <v>30.167867659999999</v>
      </c>
      <c r="K1954">
        <v>21.352146149999999</v>
      </c>
      <c r="L1954">
        <v>21.352146149999999</v>
      </c>
      <c r="M1954">
        <v>3.0611522199999999</v>
      </c>
      <c r="N1954">
        <v>1</v>
      </c>
      <c r="O1954">
        <v>3.0611522199999999</v>
      </c>
    </row>
    <row r="1955" spans="1:15">
      <c r="A1955">
        <v>-5.2094016E-2</v>
      </c>
      <c r="B1955">
        <v>-0.96854907400000001</v>
      </c>
      <c r="C1955">
        <v>-2.6047008E-2</v>
      </c>
      <c r="D1955">
        <v>-0.724878405</v>
      </c>
      <c r="E1955">
        <v>2</v>
      </c>
      <c r="F1955">
        <v>31</v>
      </c>
      <c r="G1955">
        <v>12</v>
      </c>
      <c r="H1955">
        <v>0</v>
      </c>
      <c r="I1955">
        <v>4</v>
      </c>
      <c r="J1955">
        <v>32.701457980000001</v>
      </c>
      <c r="K1955">
        <v>18.887435910000001</v>
      </c>
      <c r="L1955">
        <v>18.887435910000001</v>
      </c>
      <c r="M1955">
        <v>2.9384968279999999</v>
      </c>
      <c r="N1955">
        <v>1</v>
      </c>
      <c r="O1955">
        <v>2.9384968279999999</v>
      </c>
    </row>
    <row r="1956" spans="1:15">
      <c r="A1956">
        <v>1.6082373480000001</v>
      </c>
      <c r="B1956">
        <v>-0.75666710800000003</v>
      </c>
      <c r="C1956">
        <v>0.80411867400000003</v>
      </c>
      <c r="D1956">
        <v>0.59368097500000006</v>
      </c>
      <c r="E1956">
        <v>3</v>
      </c>
      <c r="F1956">
        <v>28</v>
      </c>
      <c r="G1956">
        <v>12</v>
      </c>
      <c r="H1956">
        <v>1</v>
      </c>
      <c r="I1956">
        <v>0</v>
      </c>
      <c r="J1956">
        <v>32.324172969999999</v>
      </c>
      <c r="K1956">
        <v>28.24942398</v>
      </c>
      <c r="L1956">
        <v>28.24942398</v>
      </c>
      <c r="M1956">
        <v>3.3410730360000001</v>
      </c>
      <c r="N1956">
        <v>1</v>
      </c>
      <c r="O1956">
        <v>3.3410730360000001</v>
      </c>
    </row>
    <row r="1957" spans="1:15">
      <c r="A1957">
        <v>-0.50116997699999999</v>
      </c>
      <c r="B1957">
        <v>-0.74441484700000005</v>
      </c>
      <c r="C1957">
        <v>-0.25058498800000001</v>
      </c>
      <c r="D1957">
        <v>-0.88152646000000001</v>
      </c>
      <c r="E1957">
        <v>4</v>
      </c>
      <c r="F1957">
        <v>35</v>
      </c>
      <c r="G1957">
        <v>10</v>
      </c>
      <c r="H1957">
        <v>1</v>
      </c>
      <c r="I1957">
        <v>3</v>
      </c>
      <c r="J1957">
        <v>30.921682359999998</v>
      </c>
      <c r="K1957">
        <v>14.992979999999999</v>
      </c>
      <c r="L1957">
        <v>14.992979999999999</v>
      </c>
      <c r="M1957">
        <v>2.7075819970000001</v>
      </c>
      <c r="N1957">
        <v>1</v>
      </c>
      <c r="O1957">
        <v>2.7075819970000001</v>
      </c>
    </row>
    <row r="1958" spans="1:15">
      <c r="A1958">
        <v>0.640221916</v>
      </c>
      <c r="B1958">
        <v>0.40535917500000002</v>
      </c>
      <c r="C1958">
        <v>0.320110958</v>
      </c>
      <c r="D1958">
        <v>0.73841973100000002</v>
      </c>
      <c r="E1958">
        <v>5</v>
      </c>
      <c r="F1958">
        <v>33</v>
      </c>
      <c r="G1958">
        <v>12</v>
      </c>
      <c r="H1958">
        <v>1</v>
      </c>
      <c r="I1958">
        <v>1</v>
      </c>
      <c r="J1958">
        <v>41.061035160000003</v>
      </c>
      <c r="K1958">
        <v>23.441331859999998</v>
      </c>
      <c r="L1958">
        <v>23.441331859999998</v>
      </c>
      <c r="M1958">
        <v>3.154500723</v>
      </c>
      <c r="N1958">
        <v>1</v>
      </c>
      <c r="O1958">
        <v>3.154500723</v>
      </c>
    </row>
    <row r="1959" spans="1:15">
      <c r="A1959">
        <v>-6.2152908999999999E-2</v>
      </c>
      <c r="B1959">
        <v>0.37420118800000002</v>
      </c>
      <c r="C1959">
        <v>-3.1076454E-2</v>
      </c>
      <c r="D1959">
        <v>0.222176915</v>
      </c>
      <c r="E1959">
        <v>6</v>
      </c>
      <c r="F1959">
        <v>39</v>
      </c>
      <c r="G1959">
        <v>16</v>
      </c>
      <c r="H1959">
        <v>0</v>
      </c>
      <c r="I1959">
        <v>4</v>
      </c>
      <c r="J1959">
        <v>50.266124730000001</v>
      </c>
      <c r="K1959">
        <v>24.42708206</v>
      </c>
      <c r="L1959">
        <v>24.42708206</v>
      </c>
      <c r="M1959">
        <v>3.1956925389999999</v>
      </c>
      <c r="N1959">
        <v>1</v>
      </c>
      <c r="O1959">
        <v>3.1956925389999999</v>
      </c>
    </row>
    <row r="1960" spans="1:15">
      <c r="A1960">
        <v>-0.64243124399999996</v>
      </c>
      <c r="B1960">
        <v>1.583796303</v>
      </c>
      <c r="C1960">
        <v>-0.32121562199999998</v>
      </c>
      <c r="D1960">
        <v>0.67348017900000001</v>
      </c>
      <c r="E1960">
        <v>7</v>
      </c>
      <c r="F1960">
        <v>38</v>
      </c>
      <c r="G1960">
        <v>10</v>
      </c>
      <c r="H1960">
        <v>1</v>
      </c>
      <c r="I1960">
        <v>2</v>
      </c>
      <c r="J1960">
        <v>45.781761170000003</v>
      </c>
      <c r="K1960">
        <v>14.745412829999999</v>
      </c>
      <c r="L1960">
        <v>14.745412829999999</v>
      </c>
      <c r="M1960">
        <v>2.6909320349999999</v>
      </c>
      <c r="N1960">
        <v>1</v>
      </c>
      <c r="O1960">
        <v>2.6909320349999999</v>
      </c>
    </row>
    <row r="1961" spans="1:15">
      <c r="A1961">
        <v>1.236987616</v>
      </c>
      <c r="B1961">
        <v>0.40230627200000002</v>
      </c>
      <c r="C1961">
        <v>0.61849380799999998</v>
      </c>
      <c r="D1961">
        <v>1.156059677</v>
      </c>
      <c r="E1961">
        <v>8</v>
      </c>
      <c r="F1961">
        <v>48</v>
      </c>
      <c r="G1961">
        <v>12</v>
      </c>
      <c r="H1961">
        <v>1</v>
      </c>
      <c r="I1961">
        <v>2</v>
      </c>
      <c r="J1961">
        <v>57.072715760000001</v>
      </c>
      <c r="K1961">
        <v>30.021924970000001</v>
      </c>
      <c r="L1961">
        <v>30.021924970000001</v>
      </c>
      <c r="M1961">
        <v>3.401927948</v>
      </c>
      <c r="N1961">
        <v>1</v>
      </c>
      <c r="O1961">
        <v>3.401927948</v>
      </c>
    </row>
    <row r="1962" spans="1:15">
      <c r="A1962">
        <v>-1.92934359</v>
      </c>
      <c r="B1962">
        <v>0.86727380399999998</v>
      </c>
      <c r="C1962">
        <v>-0.964671795</v>
      </c>
      <c r="D1962">
        <v>-0.74097602799999995</v>
      </c>
      <c r="E1962">
        <v>9</v>
      </c>
      <c r="F1962">
        <v>46</v>
      </c>
      <c r="G1962">
        <v>16</v>
      </c>
      <c r="H1962">
        <v>1</v>
      </c>
      <c r="I1962">
        <v>1</v>
      </c>
      <c r="J1962">
        <v>31.508287429999999</v>
      </c>
      <c r="K1962">
        <v>14.623938559999999</v>
      </c>
      <c r="L1962">
        <v>14.623938559999999</v>
      </c>
      <c r="M1962">
        <v>2.6826598640000001</v>
      </c>
      <c r="N1962">
        <v>1</v>
      </c>
      <c r="O1962">
        <v>2.6826598640000001</v>
      </c>
    </row>
    <row r="1963" spans="1:15">
      <c r="A1963">
        <v>-1.4389909249999999</v>
      </c>
      <c r="B1963">
        <v>-0.43687306599999998</v>
      </c>
      <c r="C1963">
        <v>-0.71949546200000003</v>
      </c>
      <c r="D1963">
        <v>-1.322726268</v>
      </c>
      <c r="E1963">
        <v>0</v>
      </c>
      <c r="F1963">
        <v>47</v>
      </c>
      <c r="G1963">
        <v>10</v>
      </c>
      <c r="H1963">
        <v>0</v>
      </c>
      <c r="I1963">
        <v>3</v>
      </c>
      <c r="J1963">
        <v>25.427284239999999</v>
      </c>
      <c r="K1963">
        <v>11.76605415</v>
      </c>
      <c r="N1963">
        <v>0</v>
      </c>
      <c r="O1963">
        <v>0</v>
      </c>
    </row>
    <row r="1964" spans="1:15">
      <c r="A1964">
        <v>0.38967937499999999</v>
      </c>
      <c r="B1964">
        <v>0.29133943299999998</v>
      </c>
      <c r="C1964">
        <v>0.19483968700000001</v>
      </c>
      <c r="D1964">
        <v>0.48114936699999999</v>
      </c>
      <c r="E1964">
        <v>1</v>
      </c>
      <c r="F1964">
        <v>29</v>
      </c>
      <c r="G1964">
        <v>10</v>
      </c>
      <c r="H1964">
        <v>0</v>
      </c>
      <c r="I1964">
        <v>0</v>
      </c>
      <c r="J1964">
        <v>24.873792649999999</v>
      </c>
      <c r="K1964">
        <v>19.138076779999999</v>
      </c>
      <c r="N1964">
        <v>0</v>
      </c>
      <c r="O1964">
        <v>0</v>
      </c>
    </row>
    <row r="1965" spans="1:15">
      <c r="A1965">
        <v>-0.31812433200000001</v>
      </c>
      <c r="B1965">
        <v>-1.849228482</v>
      </c>
      <c r="C1965">
        <v>-0.159062166</v>
      </c>
      <c r="D1965">
        <v>-1.5378170520000001</v>
      </c>
      <c r="E1965">
        <v>2</v>
      </c>
      <c r="F1965">
        <v>44</v>
      </c>
      <c r="G1965">
        <v>16</v>
      </c>
      <c r="H1965">
        <v>0</v>
      </c>
      <c r="I1965">
        <v>4</v>
      </c>
      <c r="J1965">
        <v>31.14619446</v>
      </c>
      <c r="K1965">
        <v>23.89125443</v>
      </c>
      <c r="L1965">
        <v>23.89125443</v>
      </c>
      <c r="M1965">
        <v>3.1735124589999999</v>
      </c>
      <c r="N1965">
        <v>1</v>
      </c>
      <c r="O1965">
        <v>3.1735124589999999</v>
      </c>
    </row>
    <row r="1966" spans="1:15">
      <c r="A1966">
        <v>-1.9513167199999999</v>
      </c>
      <c r="B1966">
        <v>-0.731988851</v>
      </c>
      <c r="C1966">
        <v>-0.97565835999999995</v>
      </c>
      <c r="D1966">
        <v>-1.8928376280000001</v>
      </c>
      <c r="E1966">
        <v>3</v>
      </c>
      <c r="F1966">
        <v>27</v>
      </c>
      <c r="G1966">
        <v>16</v>
      </c>
      <c r="H1966">
        <v>0</v>
      </c>
      <c r="I1966">
        <v>2</v>
      </c>
      <c r="J1966">
        <v>10.085947989999999</v>
      </c>
      <c r="K1966">
        <v>10.69209957</v>
      </c>
      <c r="N1966">
        <v>0</v>
      </c>
      <c r="O1966">
        <v>0</v>
      </c>
    </row>
    <row r="1967" spans="1:15">
      <c r="A1967">
        <v>-2.5191716290000001</v>
      </c>
      <c r="B1967">
        <v>0.49151848399999998</v>
      </c>
      <c r="C1967">
        <v>-1.2595858150000001</v>
      </c>
      <c r="D1967">
        <v>-1.4229090579999999</v>
      </c>
      <c r="E1967">
        <v>4</v>
      </c>
      <c r="F1967">
        <v>40</v>
      </c>
      <c r="G1967">
        <v>12</v>
      </c>
      <c r="H1967">
        <v>1</v>
      </c>
      <c r="I1967">
        <v>4</v>
      </c>
      <c r="J1967">
        <v>32.925090789999999</v>
      </c>
      <c r="K1967">
        <v>5.8849701879999996</v>
      </c>
      <c r="L1967">
        <v>5.8849701879999996</v>
      </c>
      <c r="M1967">
        <v>1.7724016899999999</v>
      </c>
      <c r="N1967">
        <v>1</v>
      </c>
      <c r="O1967">
        <v>1.7724016899999999</v>
      </c>
    </row>
    <row r="1968" spans="1:15">
      <c r="A1968">
        <v>1.5568705279999999</v>
      </c>
      <c r="B1968">
        <v>1.2601186550000001</v>
      </c>
      <c r="C1968">
        <v>0.77843526399999996</v>
      </c>
      <c r="D1968">
        <v>1.990633385</v>
      </c>
      <c r="E1968">
        <v>5</v>
      </c>
      <c r="F1968">
        <v>32</v>
      </c>
      <c r="G1968">
        <v>10</v>
      </c>
      <c r="H1968">
        <v>1</v>
      </c>
      <c r="I1968">
        <v>0</v>
      </c>
      <c r="J1968">
        <v>49.187599179999999</v>
      </c>
      <c r="K1968">
        <v>26.74122238</v>
      </c>
      <c r="L1968">
        <v>26.74122238</v>
      </c>
      <c r="M1968">
        <v>3.2862062449999998</v>
      </c>
      <c r="N1968">
        <v>1</v>
      </c>
      <c r="O1968">
        <v>3.2862062449999998</v>
      </c>
    </row>
    <row r="1969" spans="1:15">
      <c r="A1969">
        <v>0.50714124999999999</v>
      </c>
      <c r="B1969">
        <v>-0.11567166800000001</v>
      </c>
      <c r="C1969">
        <v>0.25357062499999999</v>
      </c>
      <c r="D1969">
        <v>0.27456681399999999</v>
      </c>
      <c r="E1969">
        <v>6</v>
      </c>
      <c r="F1969">
        <v>34</v>
      </c>
      <c r="G1969">
        <v>12</v>
      </c>
      <c r="H1969">
        <v>0</v>
      </c>
      <c r="I1969">
        <v>1</v>
      </c>
      <c r="J1969">
        <v>30.894802089999999</v>
      </c>
      <c r="K1969">
        <v>22.842847819999999</v>
      </c>
      <c r="L1969">
        <v>22.842847819999999</v>
      </c>
      <c r="M1969">
        <v>3.1286380290000002</v>
      </c>
      <c r="N1969">
        <v>1</v>
      </c>
      <c r="O1969">
        <v>3.1286380290000002</v>
      </c>
    </row>
    <row r="1970" spans="1:15">
      <c r="A1970">
        <v>0.44669281500000002</v>
      </c>
      <c r="B1970">
        <v>0.30168349700000002</v>
      </c>
      <c r="C1970">
        <v>0.223346407</v>
      </c>
      <c r="D1970">
        <v>0.52860713599999998</v>
      </c>
      <c r="E1970">
        <v>7</v>
      </c>
      <c r="F1970">
        <v>48</v>
      </c>
      <c r="G1970">
        <v>12</v>
      </c>
      <c r="H1970">
        <v>1</v>
      </c>
      <c r="I1970">
        <v>0</v>
      </c>
      <c r="J1970">
        <v>39.54328537</v>
      </c>
      <c r="K1970">
        <v>25.280157089999999</v>
      </c>
      <c r="L1970">
        <v>25.280157089999999</v>
      </c>
      <c r="M1970">
        <v>3.2300198080000002</v>
      </c>
      <c r="N1970">
        <v>1</v>
      </c>
      <c r="O1970">
        <v>3.2300198080000002</v>
      </c>
    </row>
    <row r="1971" spans="1:15">
      <c r="A1971">
        <v>0.34888808599999999</v>
      </c>
      <c r="B1971">
        <v>0.103188012</v>
      </c>
      <c r="C1971">
        <v>0.17444404299999999</v>
      </c>
      <c r="D1971">
        <v>0.31875710800000001</v>
      </c>
      <c r="E1971">
        <v>8</v>
      </c>
      <c r="F1971">
        <v>37</v>
      </c>
      <c r="G1971">
        <v>20</v>
      </c>
      <c r="H1971">
        <v>1</v>
      </c>
      <c r="I1971">
        <v>0</v>
      </c>
      <c r="J1971">
        <v>38.625083920000002</v>
      </c>
      <c r="K1971">
        <v>30.493328089999999</v>
      </c>
      <c r="L1971">
        <v>30.493328089999999</v>
      </c>
      <c r="M1971">
        <v>3.4175078870000002</v>
      </c>
      <c r="N1971">
        <v>1</v>
      </c>
      <c r="O1971">
        <v>3.4175078870000002</v>
      </c>
    </row>
    <row r="1972" spans="1:15">
      <c r="A1972">
        <v>5.0383254000000002E-2</v>
      </c>
      <c r="B1972">
        <v>0.69513239699999996</v>
      </c>
      <c r="C1972">
        <v>2.5191627000000001E-2</v>
      </c>
      <c r="D1972">
        <v>0.52939050399999998</v>
      </c>
      <c r="E1972">
        <v>9</v>
      </c>
      <c r="F1972">
        <v>46</v>
      </c>
      <c r="G1972">
        <v>16</v>
      </c>
      <c r="H1972">
        <v>1</v>
      </c>
      <c r="I1972">
        <v>1</v>
      </c>
      <c r="J1972">
        <v>46.752685550000002</v>
      </c>
      <c r="K1972">
        <v>26.502300259999998</v>
      </c>
      <c r="L1972">
        <v>26.502300259999998</v>
      </c>
      <c r="M1972">
        <v>3.2772314549999999</v>
      </c>
      <c r="N1972">
        <v>1</v>
      </c>
      <c r="O1972">
        <v>3.2772314549999999</v>
      </c>
    </row>
    <row r="1973" spans="1:15">
      <c r="A1973">
        <v>0.987720932</v>
      </c>
      <c r="B1973">
        <v>-8.1821268000000003E-2</v>
      </c>
      <c r="C1973">
        <v>0.493860466</v>
      </c>
      <c r="D1973">
        <v>0.63669564300000003</v>
      </c>
      <c r="E1973">
        <v>0</v>
      </c>
      <c r="F1973">
        <v>33</v>
      </c>
      <c r="G1973">
        <v>10</v>
      </c>
      <c r="H1973">
        <v>0</v>
      </c>
      <c r="I1973">
        <v>1</v>
      </c>
      <c r="J1973">
        <v>33.340347289999997</v>
      </c>
      <c r="K1973">
        <v>23.526325230000001</v>
      </c>
      <c r="L1973">
        <v>23.526325230000001</v>
      </c>
      <c r="M1973">
        <v>3.1581199170000001</v>
      </c>
      <c r="N1973">
        <v>1</v>
      </c>
      <c r="O1973">
        <v>3.1581199170000001</v>
      </c>
    </row>
    <row r="1974" spans="1:15">
      <c r="A1974">
        <v>-1.8460564829999999</v>
      </c>
      <c r="B1974">
        <v>-1.4627012399999999</v>
      </c>
      <c r="C1974">
        <v>-0.92302824100000003</v>
      </c>
      <c r="D1974">
        <v>-2.3380193810000001</v>
      </c>
      <c r="E1974">
        <v>1</v>
      </c>
      <c r="F1974">
        <v>25</v>
      </c>
      <c r="G1974">
        <v>10</v>
      </c>
      <c r="H1974">
        <v>1</v>
      </c>
      <c r="I1974">
        <v>0</v>
      </c>
      <c r="J1974">
        <v>-5.5562324519999997</v>
      </c>
      <c r="K1974">
        <v>4.9236612319999997</v>
      </c>
      <c r="N1974">
        <v>0</v>
      </c>
      <c r="O1974">
        <v>0</v>
      </c>
    </row>
    <row r="1975" spans="1:15">
      <c r="A1975">
        <v>-0.51154845500000001</v>
      </c>
      <c r="B1975">
        <v>-0.24686529900000001</v>
      </c>
      <c r="C1975">
        <v>-0.25577422700000002</v>
      </c>
      <c r="D1975">
        <v>-0.53527868999999995</v>
      </c>
      <c r="E1975">
        <v>2</v>
      </c>
      <c r="F1975">
        <v>24</v>
      </c>
      <c r="G1975">
        <v>10</v>
      </c>
      <c r="H1975">
        <v>1</v>
      </c>
      <c r="I1975">
        <v>1</v>
      </c>
      <c r="J1975">
        <v>20.67665482</v>
      </c>
      <c r="K1975">
        <v>12.73070908</v>
      </c>
      <c r="N1975">
        <v>0</v>
      </c>
      <c r="O1975">
        <v>0</v>
      </c>
    </row>
    <row r="1976" spans="1:15">
      <c r="A1976">
        <v>-0.57067238200000003</v>
      </c>
      <c r="B1976">
        <v>0.32114026699999998</v>
      </c>
      <c r="C1976">
        <v>-0.28533619100000002</v>
      </c>
      <c r="D1976">
        <v>-0.17325744900000001</v>
      </c>
      <c r="E1976">
        <v>3</v>
      </c>
      <c r="F1976">
        <v>48</v>
      </c>
      <c r="G1976">
        <v>16</v>
      </c>
      <c r="H1976">
        <v>1</v>
      </c>
      <c r="I1976">
        <v>1</v>
      </c>
      <c r="J1976">
        <v>39.120910639999998</v>
      </c>
      <c r="K1976">
        <v>23.175966259999999</v>
      </c>
      <c r="L1976">
        <v>23.175966259999999</v>
      </c>
      <c r="M1976">
        <v>3.1431157590000001</v>
      </c>
      <c r="N1976">
        <v>1</v>
      </c>
      <c r="O1976">
        <v>3.1431157590000001</v>
      </c>
    </row>
    <row r="1977" spans="1:15">
      <c r="A1977">
        <v>3.7418153000000003E-2</v>
      </c>
      <c r="B1977">
        <v>-0.79131995499999996</v>
      </c>
      <c r="C1977">
        <v>1.8709077000000001E-2</v>
      </c>
      <c r="D1977">
        <v>-0.53597343399999997</v>
      </c>
      <c r="E1977">
        <v>4</v>
      </c>
      <c r="F1977">
        <v>32</v>
      </c>
      <c r="G1977">
        <v>16</v>
      </c>
      <c r="H1977">
        <v>1</v>
      </c>
      <c r="I1977">
        <v>0</v>
      </c>
      <c r="J1977">
        <v>23.368318559999999</v>
      </c>
      <c r="K1977">
        <v>23.624509809999999</v>
      </c>
      <c r="N1977">
        <v>0</v>
      </c>
      <c r="O1977">
        <v>0</v>
      </c>
    </row>
    <row r="1978" spans="1:15">
      <c r="A1978">
        <v>-0.54184753699999999</v>
      </c>
      <c r="B1978">
        <v>-0.95497131499999999</v>
      </c>
      <c r="C1978">
        <v>-0.27092376800000001</v>
      </c>
      <c r="D1978">
        <v>-1.059759291</v>
      </c>
      <c r="E1978">
        <v>5</v>
      </c>
      <c r="F1978">
        <v>31</v>
      </c>
      <c r="G1978">
        <v>16</v>
      </c>
      <c r="H1978">
        <v>1</v>
      </c>
      <c r="I1978">
        <v>1</v>
      </c>
      <c r="J1978">
        <v>21.682888030000001</v>
      </c>
      <c r="K1978">
        <v>19.94891548</v>
      </c>
      <c r="N1978">
        <v>0</v>
      </c>
      <c r="O1978">
        <v>0</v>
      </c>
    </row>
    <row r="1979" spans="1:15">
      <c r="A1979">
        <v>-7.0505424999999997E-2</v>
      </c>
      <c r="B1979">
        <v>6.4824165000000003E-2</v>
      </c>
      <c r="C1979">
        <v>-3.5252711999999999E-2</v>
      </c>
      <c r="D1979">
        <v>-3.535992E-3</v>
      </c>
      <c r="E1979">
        <v>6</v>
      </c>
      <c r="F1979">
        <v>37</v>
      </c>
      <c r="G1979">
        <v>12</v>
      </c>
      <c r="H1979">
        <v>1</v>
      </c>
      <c r="I1979">
        <v>0</v>
      </c>
      <c r="J1979">
        <v>28.75756836</v>
      </c>
      <c r="K1979">
        <v>19.976966860000001</v>
      </c>
      <c r="N1979">
        <v>0</v>
      </c>
      <c r="O1979">
        <v>0</v>
      </c>
    </row>
    <row r="1980" spans="1:15">
      <c r="A1980">
        <v>1.9929465660000001</v>
      </c>
      <c r="B1980">
        <v>9.0625921999999998E-2</v>
      </c>
      <c r="C1980">
        <v>0.99647328300000004</v>
      </c>
      <c r="D1980">
        <v>1.466383475</v>
      </c>
      <c r="E1980">
        <v>7</v>
      </c>
      <c r="F1980">
        <v>36</v>
      </c>
      <c r="G1980">
        <v>16</v>
      </c>
      <c r="H1980">
        <v>1</v>
      </c>
      <c r="I1980">
        <v>0</v>
      </c>
      <c r="J1980">
        <v>48.996601099999999</v>
      </c>
      <c r="K1980">
        <v>36.157680509999999</v>
      </c>
      <c r="L1980">
        <v>36.157680509999999</v>
      </c>
      <c r="M1980">
        <v>3.587889433</v>
      </c>
      <c r="N1980">
        <v>1</v>
      </c>
      <c r="O1980">
        <v>3.587889433</v>
      </c>
    </row>
    <row r="1981" spans="1:15">
      <c r="A1981">
        <v>1.0607660809999999</v>
      </c>
      <c r="B1981">
        <v>1.5198751049999999</v>
      </c>
      <c r="C1981">
        <v>0.530383041</v>
      </c>
      <c r="D1981">
        <v>1.826214443</v>
      </c>
      <c r="E1981">
        <v>8</v>
      </c>
      <c r="F1981">
        <v>39</v>
      </c>
      <c r="G1981">
        <v>10</v>
      </c>
      <c r="H1981">
        <v>1</v>
      </c>
      <c r="I1981">
        <v>0</v>
      </c>
      <c r="J1981">
        <v>50.014572139999999</v>
      </c>
      <c r="K1981">
        <v>25.16459656</v>
      </c>
      <c r="L1981">
        <v>25.16459656</v>
      </c>
      <c r="M1981">
        <v>3.225438118</v>
      </c>
      <c r="N1981">
        <v>1</v>
      </c>
      <c r="O1981">
        <v>3.225438118</v>
      </c>
    </row>
    <row r="1982" spans="1:15">
      <c r="A1982">
        <v>-1.3194959550000001</v>
      </c>
      <c r="B1982">
        <v>0.21839813699999999</v>
      </c>
      <c r="C1982">
        <v>-0.65974797799999996</v>
      </c>
      <c r="D1982">
        <v>-0.77304202200000005</v>
      </c>
      <c r="E1982">
        <v>9</v>
      </c>
      <c r="F1982">
        <v>42</v>
      </c>
      <c r="G1982">
        <v>12</v>
      </c>
      <c r="H1982">
        <v>1</v>
      </c>
      <c r="I1982">
        <v>3</v>
      </c>
      <c r="J1982">
        <v>36.523494720000002</v>
      </c>
      <c r="K1982">
        <v>13.4830246</v>
      </c>
      <c r="L1982">
        <v>13.4830246</v>
      </c>
      <c r="M1982">
        <v>2.6014313699999998</v>
      </c>
      <c r="N1982">
        <v>1</v>
      </c>
      <c r="O1982">
        <v>2.6014313699999998</v>
      </c>
    </row>
    <row r="1983" spans="1:15">
      <c r="A1983">
        <v>1.636330109</v>
      </c>
      <c r="B1983">
        <v>-1.626686791</v>
      </c>
      <c r="C1983">
        <v>0.81816505399999995</v>
      </c>
      <c r="D1983">
        <v>-4.7750859999999996E-3</v>
      </c>
      <c r="E1983">
        <v>0</v>
      </c>
      <c r="F1983">
        <v>20</v>
      </c>
      <c r="G1983">
        <v>12</v>
      </c>
      <c r="H1983">
        <v>0</v>
      </c>
      <c r="I1983">
        <v>0</v>
      </c>
      <c r="J1983">
        <v>16.942699430000001</v>
      </c>
      <c r="K1983">
        <v>26.817979810000001</v>
      </c>
      <c r="N1983">
        <v>0</v>
      </c>
      <c r="O1983">
        <v>0</v>
      </c>
    </row>
    <row r="1984" spans="1:15">
      <c r="A1984">
        <v>1.173181421</v>
      </c>
      <c r="B1984">
        <v>-0.86424263899999998</v>
      </c>
      <c r="C1984">
        <v>0.58659070999999996</v>
      </c>
      <c r="D1984">
        <v>0.21118933000000001</v>
      </c>
      <c r="E1984">
        <v>1</v>
      </c>
      <c r="F1984">
        <v>22</v>
      </c>
      <c r="G1984">
        <v>10</v>
      </c>
      <c r="H1984">
        <v>0</v>
      </c>
      <c r="I1984">
        <v>2</v>
      </c>
      <c r="J1984">
        <v>28.834272380000002</v>
      </c>
      <c r="K1984">
        <v>22.439088819999998</v>
      </c>
      <c r="N1984">
        <v>0</v>
      </c>
      <c r="O1984">
        <v>0</v>
      </c>
    </row>
    <row r="1985" spans="1:15">
      <c r="A1985">
        <v>8.3193920000000005E-2</v>
      </c>
      <c r="B1985">
        <v>-1.612722102</v>
      </c>
      <c r="C1985">
        <v>4.1596960000000002E-2</v>
      </c>
      <c r="D1985">
        <v>-1.087443307</v>
      </c>
      <c r="E1985">
        <v>2</v>
      </c>
      <c r="F1985">
        <v>27</v>
      </c>
      <c r="G1985">
        <v>10</v>
      </c>
      <c r="H1985">
        <v>0</v>
      </c>
      <c r="I1985">
        <v>4</v>
      </c>
      <c r="J1985">
        <v>25.250680920000001</v>
      </c>
      <c r="K1985">
        <v>16.899164200000001</v>
      </c>
      <c r="N1985">
        <v>0</v>
      </c>
      <c r="O1985">
        <v>0</v>
      </c>
    </row>
    <row r="1986" spans="1:15">
      <c r="A1986">
        <v>-0.35735884200000001</v>
      </c>
      <c r="B1986">
        <v>1.238387522</v>
      </c>
      <c r="C1986">
        <v>-0.178679421</v>
      </c>
      <c r="D1986">
        <v>0.62858068700000003</v>
      </c>
      <c r="E1986">
        <v>3</v>
      </c>
      <c r="F1986">
        <v>26</v>
      </c>
      <c r="G1986">
        <v>16</v>
      </c>
      <c r="H1986">
        <v>1</v>
      </c>
      <c r="I1986">
        <v>3</v>
      </c>
      <c r="J1986">
        <v>49.942966460000001</v>
      </c>
      <c r="K1986">
        <v>20.05584717</v>
      </c>
      <c r="L1986">
        <v>20.05584717</v>
      </c>
      <c r="M1986">
        <v>2.9985208509999999</v>
      </c>
      <c r="N1986">
        <v>1</v>
      </c>
      <c r="O1986">
        <v>2.9985208509999999</v>
      </c>
    </row>
    <row r="1987" spans="1:15">
      <c r="A1987">
        <v>0.74220914800000004</v>
      </c>
      <c r="B1987">
        <v>-0.28162862999999999</v>
      </c>
      <c r="C1987">
        <v>0.37110457400000002</v>
      </c>
      <c r="D1987">
        <v>0.32200531799999998</v>
      </c>
      <c r="E1987">
        <v>4</v>
      </c>
      <c r="F1987">
        <v>30</v>
      </c>
      <c r="G1987">
        <v>16</v>
      </c>
      <c r="H1987">
        <v>1</v>
      </c>
      <c r="I1987">
        <v>1</v>
      </c>
      <c r="J1987">
        <v>37.864063260000002</v>
      </c>
      <c r="K1987">
        <v>27.453254699999999</v>
      </c>
      <c r="L1987">
        <v>27.453254699999999</v>
      </c>
      <c r="M1987">
        <v>3.312484741</v>
      </c>
      <c r="N1987">
        <v>1</v>
      </c>
      <c r="O1987">
        <v>3.312484741</v>
      </c>
    </row>
    <row r="1988" spans="1:15">
      <c r="A1988">
        <v>-0.16437803400000001</v>
      </c>
      <c r="B1988">
        <v>-0.81695910699999996</v>
      </c>
      <c r="C1988">
        <v>-8.2189017000000003E-2</v>
      </c>
      <c r="D1988">
        <v>-0.696150516</v>
      </c>
      <c r="E1988">
        <v>5</v>
      </c>
      <c r="F1988">
        <v>31</v>
      </c>
      <c r="G1988">
        <v>10</v>
      </c>
      <c r="H1988">
        <v>1</v>
      </c>
      <c r="I1988">
        <v>4</v>
      </c>
      <c r="J1988">
        <v>36.546192169999998</v>
      </c>
      <c r="K1988">
        <v>16.213731769999999</v>
      </c>
      <c r="L1988">
        <v>16.213731769999999</v>
      </c>
      <c r="M1988">
        <v>2.785858631</v>
      </c>
      <c r="N1988">
        <v>1</v>
      </c>
      <c r="O1988">
        <v>2.785858631</v>
      </c>
    </row>
    <row r="1989" spans="1:15">
      <c r="A1989">
        <v>0.72048324799999997</v>
      </c>
      <c r="B1989">
        <v>1.181687E-2</v>
      </c>
      <c r="C1989">
        <v>0.36024162399999998</v>
      </c>
      <c r="D1989">
        <v>0.51523821400000003</v>
      </c>
      <c r="E1989">
        <v>6</v>
      </c>
      <c r="F1989">
        <v>33</v>
      </c>
      <c r="G1989">
        <v>16</v>
      </c>
      <c r="H1989">
        <v>1</v>
      </c>
      <c r="I1989">
        <v>4</v>
      </c>
      <c r="J1989">
        <v>56.382858280000001</v>
      </c>
      <c r="K1989">
        <v>27.92289925</v>
      </c>
      <c r="L1989">
        <v>27.92289925</v>
      </c>
      <c r="M1989">
        <v>3.3294470309999999</v>
      </c>
      <c r="N1989">
        <v>1</v>
      </c>
      <c r="O1989">
        <v>3.3294470309999999</v>
      </c>
    </row>
    <row r="1990" spans="1:15">
      <c r="A1990">
        <v>-0.82467345599999997</v>
      </c>
      <c r="B1990">
        <v>-0.62805794599999998</v>
      </c>
      <c r="C1990">
        <v>-0.41233672799999999</v>
      </c>
      <c r="D1990">
        <v>-1.0264219269999999</v>
      </c>
      <c r="E1990">
        <v>7</v>
      </c>
      <c r="F1990">
        <v>43</v>
      </c>
      <c r="G1990">
        <v>12</v>
      </c>
      <c r="H1990">
        <v>1</v>
      </c>
      <c r="I1990">
        <v>1</v>
      </c>
      <c r="J1990">
        <v>23.882936480000001</v>
      </c>
      <c r="K1990">
        <v>16.65195847</v>
      </c>
      <c r="N1990">
        <v>0</v>
      </c>
      <c r="O1990">
        <v>0</v>
      </c>
    </row>
    <row r="1991" spans="1:15">
      <c r="A1991">
        <v>1.047700281</v>
      </c>
      <c r="B1991">
        <v>-4.9280283000000001E-2</v>
      </c>
      <c r="C1991">
        <v>0.52385013999999996</v>
      </c>
      <c r="D1991">
        <v>0.70201254199999996</v>
      </c>
      <c r="E1991">
        <v>8</v>
      </c>
      <c r="F1991">
        <v>54</v>
      </c>
      <c r="G1991">
        <v>12</v>
      </c>
      <c r="H1991">
        <v>1</v>
      </c>
      <c r="I1991">
        <v>2</v>
      </c>
      <c r="J1991">
        <v>54.024150849999998</v>
      </c>
      <c r="K1991">
        <v>30.086202620000002</v>
      </c>
      <c r="L1991">
        <v>30.086202620000002</v>
      </c>
      <c r="M1991">
        <v>3.4040668009999999</v>
      </c>
      <c r="N1991">
        <v>1</v>
      </c>
      <c r="O1991">
        <v>3.4040668009999999</v>
      </c>
    </row>
    <row r="1992" spans="1:15">
      <c r="A1992">
        <v>-1.5436838960000001</v>
      </c>
      <c r="B1992">
        <v>-0.67033042399999998</v>
      </c>
      <c r="C1992">
        <v>-0.77184194800000006</v>
      </c>
      <c r="D1992">
        <v>-1.562265204</v>
      </c>
      <c r="E1992">
        <v>9</v>
      </c>
      <c r="F1992">
        <v>46</v>
      </c>
      <c r="G1992">
        <v>16</v>
      </c>
      <c r="H1992">
        <v>1</v>
      </c>
      <c r="I1992">
        <v>1</v>
      </c>
      <c r="J1992">
        <v>21.652816770000001</v>
      </c>
      <c r="K1992">
        <v>16.937896729999999</v>
      </c>
      <c r="N1992">
        <v>0</v>
      </c>
      <c r="O1992">
        <v>0</v>
      </c>
    </row>
    <row r="1993" spans="1:15">
      <c r="A1993">
        <v>1.2361617650000001</v>
      </c>
      <c r="B1993">
        <v>-1.703745785</v>
      </c>
      <c r="C1993">
        <v>0.61808088299999997</v>
      </c>
      <c r="D1993">
        <v>-0.34103977499999999</v>
      </c>
      <c r="E1993">
        <v>0</v>
      </c>
      <c r="F1993">
        <v>20</v>
      </c>
      <c r="G1993">
        <v>10</v>
      </c>
      <c r="H1993">
        <v>0</v>
      </c>
      <c r="I1993">
        <v>0</v>
      </c>
      <c r="J1993">
        <v>11.40752316</v>
      </c>
      <c r="K1993">
        <v>22.41697121</v>
      </c>
      <c r="N1993">
        <v>0</v>
      </c>
      <c r="O1993">
        <v>0</v>
      </c>
    </row>
    <row r="1994" spans="1:15">
      <c r="A1994">
        <v>0.341712507</v>
      </c>
      <c r="B1994">
        <v>0.61701167400000001</v>
      </c>
      <c r="C1994">
        <v>0.17085625300000001</v>
      </c>
      <c r="D1994">
        <v>0.67882209500000001</v>
      </c>
      <c r="E1994">
        <v>1</v>
      </c>
      <c r="F1994">
        <v>34</v>
      </c>
      <c r="G1994">
        <v>10</v>
      </c>
      <c r="H1994">
        <v>1</v>
      </c>
      <c r="I1994">
        <v>3</v>
      </c>
      <c r="J1994">
        <v>49.245864869999998</v>
      </c>
      <c r="K1994">
        <v>19.85027504</v>
      </c>
      <c r="L1994">
        <v>19.85027504</v>
      </c>
      <c r="M1994">
        <v>2.988217831</v>
      </c>
      <c r="N1994">
        <v>1</v>
      </c>
      <c r="O1994">
        <v>2.988217831</v>
      </c>
    </row>
    <row r="1995" spans="1:15">
      <c r="A1995">
        <v>0.27750723799999999</v>
      </c>
      <c r="B1995">
        <v>-0.111815277</v>
      </c>
      <c r="C1995">
        <v>0.13875361899999999</v>
      </c>
      <c r="D1995">
        <v>0.115765484</v>
      </c>
      <c r="E1995">
        <v>2</v>
      </c>
      <c r="F1995">
        <v>39</v>
      </c>
      <c r="G1995">
        <v>12</v>
      </c>
      <c r="H1995">
        <v>1</v>
      </c>
      <c r="I1995">
        <v>1</v>
      </c>
      <c r="J1995">
        <v>35.989185329999998</v>
      </c>
      <c r="K1995">
        <v>22.465044020000001</v>
      </c>
      <c r="L1995">
        <v>22.465044020000001</v>
      </c>
      <c r="M1995">
        <v>3.1119604110000001</v>
      </c>
      <c r="N1995">
        <v>1</v>
      </c>
      <c r="O1995">
        <v>3.1119604110000001</v>
      </c>
    </row>
    <row r="1996" spans="1:15">
      <c r="A1996">
        <v>-0.50819010600000003</v>
      </c>
      <c r="B1996">
        <v>-2.1185688219999999</v>
      </c>
      <c r="C1996">
        <v>-0.25409505300000002</v>
      </c>
      <c r="D1996">
        <v>-1.8629112830000001</v>
      </c>
      <c r="E1996">
        <v>3</v>
      </c>
      <c r="F1996">
        <v>33</v>
      </c>
      <c r="G1996">
        <v>16</v>
      </c>
      <c r="H1996">
        <v>1</v>
      </c>
      <c r="I1996">
        <v>1</v>
      </c>
      <c r="J1996">
        <v>12.84506416</v>
      </c>
      <c r="K1996">
        <v>20.550859450000001</v>
      </c>
      <c r="N1996">
        <v>0</v>
      </c>
      <c r="O1996">
        <v>0</v>
      </c>
    </row>
    <row r="1997" spans="1:15">
      <c r="A1997">
        <v>0.226351739</v>
      </c>
      <c r="B1997">
        <v>0.38402784299999998</v>
      </c>
      <c r="C1997">
        <v>0.11317587</v>
      </c>
      <c r="D1997">
        <v>0.43211511800000002</v>
      </c>
      <c r="E1997">
        <v>4</v>
      </c>
      <c r="F1997">
        <v>28</v>
      </c>
      <c r="G1997">
        <v>12</v>
      </c>
      <c r="H1997">
        <v>1</v>
      </c>
      <c r="I1997">
        <v>0</v>
      </c>
      <c r="J1997">
        <v>30.3853817</v>
      </c>
      <c r="K1997">
        <v>19.958110810000001</v>
      </c>
      <c r="L1997">
        <v>19.958110810000001</v>
      </c>
      <c r="M1997">
        <v>2.9936356540000002</v>
      </c>
      <c r="N1997">
        <v>1</v>
      </c>
      <c r="O1997">
        <v>2.9936356540000002</v>
      </c>
    </row>
    <row r="1998" spans="1:15">
      <c r="A1998">
        <v>-0.24727586700000001</v>
      </c>
      <c r="B1998">
        <v>9.0691268000000005E-2</v>
      </c>
      <c r="C1998">
        <v>-0.123637934</v>
      </c>
      <c r="D1998">
        <v>-0.10950879299999999</v>
      </c>
      <c r="E1998">
        <v>5</v>
      </c>
      <c r="F1998">
        <v>32</v>
      </c>
      <c r="G1998">
        <v>12</v>
      </c>
      <c r="H1998">
        <v>1</v>
      </c>
      <c r="I1998">
        <v>0</v>
      </c>
      <c r="J1998">
        <v>25.485895159999998</v>
      </c>
      <c r="K1998">
        <v>17.9163456</v>
      </c>
      <c r="N1998">
        <v>0</v>
      </c>
      <c r="O1998">
        <v>0</v>
      </c>
    </row>
    <row r="1999" spans="1:15">
      <c r="A1999">
        <v>-0.32292846400000003</v>
      </c>
      <c r="B1999">
        <v>-0.40240474900000001</v>
      </c>
      <c r="C1999">
        <v>-0.16146423200000001</v>
      </c>
      <c r="D1999">
        <v>-0.51311261500000005</v>
      </c>
      <c r="E1999">
        <v>6</v>
      </c>
      <c r="F1999">
        <v>35</v>
      </c>
      <c r="G1999">
        <v>20</v>
      </c>
      <c r="H1999">
        <v>1</v>
      </c>
      <c r="I1999">
        <v>1</v>
      </c>
      <c r="J1999">
        <v>32.842647550000002</v>
      </c>
      <c r="K1999">
        <v>26.062429430000002</v>
      </c>
      <c r="L1999">
        <v>26.062429430000002</v>
      </c>
      <c r="M1999">
        <v>3.260494709</v>
      </c>
      <c r="N1999">
        <v>1</v>
      </c>
      <c r="O1999">
        <v>3.260494709</v>
      </c>
    </row>
    <row r="2000" spans="1:15">
      <c r="A2000">
        <v>0.21559362400000001</v>
      </c>
      <c r="B2000">
        <v>0.95315973700000001</v>
      </c>
      <c r="C2000">
        <v>0.10779681200000001</v>
      </c>
      <c r="D2000">
        <v>0.82896080699999997</v>
      </c>
      <c r="E2000">
        <v>7</v>
      </c>
      <c r="F2000">
        <v>34</v>
      </c>
      <c r="G2000">
        <v>12</v>
      </c>
      <c r="H2000">
        <v>1</v>
      </c>
      <c r="I2000">
        <v>1</v>
      </c>
      <c r="J2000">
        <v>42.547531130000003</v>
      </c>
      <c r="K2000">
        <v>21.093561170000001</v>
      </c>
      <c r="L2000">
        <v>21.093561170000001</v>
      </c>
      <c r="M2000">
        <v>3.0489678379999998</v>
      </c>
      <c r="N2000">
        <v>1</v>
      </c>
      <c r="O2000">
        <v>3.0489678379999998</v>
      </c>
    </row>
    <row r="2001" spans="1:15">
      <c r="A2001">
        <v>-1.9679212070000001</v>
      </c>
      <c r="B2001">
        <v>0.97154275999999995</v>
      </c>
      <c r="C2001">
        <v>-0.98396060399999996</v>
      </c>
      <c r="D2001">
        <v>-0.69402295000000003</v>
      </c>
      <c r="E2001">
        <v>8</v>
      </c>
      <c r="F2001">
        <v>36</v>
      </c>
      <c r="G2001">
        <v>16</v>
      </c>
      <c r="H2001">
        <v>1</v>
      </c>
      <c r="I2001">
        <v>5</v>
      </c>
      <c r="J2001">
        <v>48.071723939999998</v>
      </c>
      <c r="K2001">
        <v>12.392473219999999</v>
      </c>
      <c r="L2001">
        <v>12.392473219999999</v>
      </c>
      <c r="M2001">
        <v>2.5170893670000001</v>
      </c>
      <c r="N2001">
        <v>1</v>
      </c>
      <c r="O2001">
        <v>2.5170893670000001</v>
      </c>
    </row>
    <row r="2002" spans="1:15">
      <c r="A2002">
        <v>-8.4797850000000001E-3</v>
      </c>
      <c r="B2002">
        <v>-0.18016027700000001</v>
      </c>
      <c r="C2002">
        <v>-4.2398920000000003E-3</v>
      </c>
      <c r="D2002">
        <v>-0.13398360100000001</v>
      </c>
      <c r="E2002">
        <v>9</v>
      </c>
      <c r="F2002">
        <v>48</v>
      </c>
      <c r="G2002">
        <v>12</v>
      </c>
      <c r="H2002">
        <v>1</v>
      </c>
      <c r="I2002">
        <v>0</v>
      </c>
      <c r="J2002">
        <v>31.592197420000002</v>
      </c>
      <c r="K2002">
        <v>22.54912186</v>
      </c>
      <c r="L2002">
        <v>22.54912186</v>
      </c>
      <c r="M2002">
        <v>3.1156961920000001</v>
      </c>
      <c r="N2002">
        <v>1</v>
      </c>
      <c r="O2002">
        <v>3.1156961920000001</v>
      </c>
    </row>
    <row r="2003" spans="1:15">
      <c r="A2003">
        <v>0.29932309299999998</v>
      </c>
      <c r="B2003">
        <v>-0.88827916500000004</v>
      </c>
      <c r="C2003">
        <v>0.14966154700000001</v>
      </c>
      <c r="D2003">
        <v>-0.42062734000000002</v>
      </c>
      <c r="E2003">
        <v>0</v>
      </c>
      <c r="F2003">
        <v>23</v>
      </c>
      <c r="G2003">
        <v>10</v>
      </c>
      <c r="H2003">
        <v>1</v>
      </c>
      <c r="I2003">
        <v>0</v>
      </c>
      <c r="J2003">
        <v>16.652471540000001</v>
      </c>
      <c r="K2003">
        <v>17.395938869999998</v>
      </c>
      <c r="N2003">
        <v>0</v>
      </c>
      <c r="O2003">
        <v>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2DBA-AB1D-404E-8B5E-3A9C1E66335A}">
  <dimension ref="A1:G1199"/>
  <sheetViews>
    <sheetView topLeftCell="A1178" workbookViewId="0">
      <selection activeCell="G1199" sqref="G1199"/>
    </sheetView>
  </sheetViews>
  <sheetFormatPr defaultRowHeight="15"/>
  <sheetData>
    <row r="1" spans="1:7">
      <c r="A1" t="s">
        <v>940</v>
      </c>
    </row>
    <row r="3" spans="1:7">
      <c r="A3" t="s">
        <v>627</v>
      </c>
      <c r="B3" t="s">
        <v>941</v>
      </c>
      <c r="C3" t="s">
        <v>942</v>
      </c>
      <c r="D3" t="s">
        <v>540</v>
      </c>
      <c r="E3" t="s">
        <v>943</v>
      </c>
      <c r="F3" t="s">
        <v>944</v>
      </c>
      <c r="G3" t="s">
        <v>945</v>
      </c>
    </row>
    <row r="4" spans="1:7">
      <c r="A4">
        <v>21</v>
      </c>
      <c r="B4">
        <v>252</v>
      </c>
      <c r="C4">
        <v>12</v>
      </c>
      <c r="D4">
        <v>8500</v>
      </c>
      <c r="E4">
        <v>60.6</v>
      </c>
      <c r="F4">
        <v>0</v>
      </c>
      <c r="G4">
        <v>102000</v>
      </c>
    </row>
    <row r="5" spans="1:7">
      <c r="A5">
        <v>28</v>
      </c>
      <c r="B5">
        <v>420</v>
      </c>
      <c r="C5">
        <v>15</v>
      </c>
      <c r="D5">
        <v>12500</v>
      </c>
      <c r="E5">
        <v>60.6</v>
      </c>
      <c r="F5">
        <v>1</v>
      </c>
      <c r="G5">
        <v>187500</v>
      </c>
    </row>
    <row r="6" spans="1:7">
      <c r="A6">
        <v>67</v>
      </c>
      <c r="B6">
        <v>670</v>
      </c>
      <c r="C6">
        <v>10</v>
      </c>
      <c r="D6">
        <v>12500</v>
      </c>
      <c r="E6">
        <v>60.6</v>
      </c>
      <c r="F6">
        <v>0</v>
      </c>
      <c r="G6">
        <v>125000</v>
      </c>
    </row>
    <row r="7" spans="1:7">
      <c r="A7">
        <v>20</v>
      </c>
      <c r="B7">
        <v>240</v>
      </c>
      <c r="C7">
        <v>12</v>
      </c>
      <c r="D7">
        <v>12500</v>
      </c>
      <c r="E7">
        <v>60.6</v>
      </c>
      <c r="F7">
        <v>0</v>
      </c>
      <c r="G7">
        <v>150000</v>
      </c>
    </row>
    <row r="8" spans="1:7">
      <c r="A8">
        <v>32</v>
      </c>
      <c r="B8">
        <v>384</v>
      </c>
      <c r="C8">
        <v>12</v>
      </c>
      <c r="D8">
        <v>20000</v>
      </c>
      <c r="E8">
        <v>60.6</v>
      </c>
      <c r="F8">
        <v>1</v>
      </c>
      <c r="G8">
        <v>240000</v>
      </c>
    </row>
    <row r="9" spans="1:7">
      <c r="A9">
        <v>46</v>
      </c>
      <c r="B9">
        <v>690</v>
      </c>
      <c r="C9">
        <v>15</v>
      </c>
      <c r="D9">
        <v>30000</v>
      </c>
      <c r="E9">
        <v>60.6</v>
      </c>
      <c r="F9">
        <v>0</v>
      </c>
      <c r="G9">
        <v>450000</v>
      </c>
    </row>
    <row r="10" spans="1:7">
      <c r="A10">
        <v>58</v>
      </c>
      <c r="B10">
        <v>696</v>
      </c>
      <c r="C10">
        <v>12</v>
      </c>
      <c r="D10">
        <v>30000</v>
      </c>
      <c r="E10">
        <v>60.6</v>
      </c>
      <c r="F10">
        <v>0</v>
      </c>
      <c r="G10">
        <v>360000</v>
      </c>
    </row>
    <row r="11" spans="1:7">
      <c r="A11">
        <v>27</v>
      </c>
      <c r="B11">
        <v>364.5</v>
      </c>
      <c r="C11">
        <v>13.5</v>
      </c>
      <c r="D11">
        <v>30000</v>
      </c>
      <c r="E11">
        <v>60.6</v>
      </c>
      <c r="F11">
        <v>1</v>
      </c>
      <c r="G11">
        <v>405000</v>
      </c>
    </row>
    <row r="12" spans="1:7">
      <c r="A12">
        <v>83</v>
      </c>
      <c r="B12">
        <v>0</v>
      </c>
      <c r="C12">
        <v>0</v>
      </c>
      <c r="D12">
        <v>6500</v>
      </c>
      <c r="E12">
        <v>60.6</v>
      </c>
      <c r="F12">
        <v>0</v>
      </c>
      <c r="G12">
        <v>0</v>
      </c>
    </row>
    <row r="13" spans="1:7">
      <c r="A13">
        <v>24</v>
      </c>
      <c r="B13">
        <v>288</v>
      </c>
      <c r="C13">
        <v>12</v>
      </c>
      <c r="D13">
        <v>20000</v>
      </c>
      <c r="E13">
        <v>60.6</v>
      </c>
      <c r="F13">
        <v>1</v>
      </c>
      <c r="G13">
        <v>240000</v>
      </c>
    </row>
    <row r="14" spans="1:7">
      <c r="A14">
        <v>43</v>
      </c>
      <c r="B14">
        <v>688</v>
      </c>
      <c r="C14">
        <v>16</v>
      </c>
      <c r="D14">
        <v>20000</v>
      </c>
      <c r="E14">
        <v>60.6</v>
      </c>
      <c r="F14">
        <v>1</v>
      </c>
      <c r="G14">
        <v>320000</v>
      </c>
    </row>
    <row r="15" spans="1:7">
      <c r="A15">
        <v>19</v>
      </c>
      <c r="B15">
        <v>256.5</v>
      </c>
      <c r="C15">
        <v>13.5</v>
      </c>
      <c r="D15">
        <v>30000</v>
      </c>
      <c r="E15">
        <v>60.6</v>
      </c>
      <c r="F15">
        <v>0</v>
      </c>
      <c r="G15">
        <v>405000</v>
      </c>
    </row>
    <row r="16" spans="1:7">
      <c r="A16">
        <v>46</v>
      </c>
      <c r="B16">
        <v>736</v>
      </c>
      <c r="C16">
        <v>16</v>
      </c>
      <c r="D16">
        <v>20000</v>
      </c>
      <c r="E16">
        <v>60.6</v>
      </c>
      <c r="F16">
        <v>0</v>
      </c>
      <c r="G16">
        <v>320000</v>
      </c>
    </row>
    <row r="17" spans="1:7">
      <c r="A17">
        <v>58</v>
      </c>
      <c r="B17">
        <v>696</v>
      </c>
      <c r="C17">
        <v>12</v>
      </c>
      <c r="D17">
        <v>30000</v>
      </c>
      <c r="E17">
        <v>60.6</v>
      </c>
      <c r="F17">
        <v>1</v>
      </c>
      <c r="G17">
        <v>360000</v>
      </c>
    </row>
    <row r="18" spans="1:7">
      <c r="A18">
        <v>54</v>
      </c>
      <c r="B18">
        <v>864</v>
      </c>
      <c r="C18">
        <v>16</v>
      </c>
      <c r="D18">
        <v>20000</v>
      </c>
      <c r="E18">
        <v>60.6</v>
      </c>
      <c r="F18">
        <v>0</v>
      </c>
      <c r="G18">
        <v>320000</v>
      </c>
    </row>
    <row r="19" spans="1:7">
      <c r="A19">
        <v>48</v>
      </c>
      <c r="B19">
        <v>576</v>
      </c>
      <c r="C19">
        <v>12</v>
      </c>
      <c r="D19">
        <v>20000</v>
      </c>
      <c r="E19">
        <v>60.6</v>
      </c>
      <c r="F19">
        <v>0</v>
      </c>
      <c r="G19">
        <v>240000</v>
      </c>
    </row>
    <row r="20" spans="1:7">
      <c r="A20">
        <v>70</v>
      </c>
      <c r="B20">
        <v>175</v>
      </c>
      <c r="C20">
        <v>2.5</v>
      </c>
      <c r="D20">
        <v>3500</v>
      </c>
      <c r="E20">
        <v>60.6</v>
      </c>
      <c r="F20">
        <v>0</v>
      </c>
      <c r="G20">
        <v>8750</v>
      </c>
    </row>
    <row r="21" spans="1:7">
      <c r="A21">
        <v>63</v>
      </c>
      <c r="B21">
        <v>850.5</v>
      </c>
      <c r="C21">
        <v>13.5</v>
      </c>
      <c r="D21">
        <v>8500</v>
      </c>
      <c r="E21">
        <v>60.6</v>
      </c>
      <c r="F21">
        <v>0</v>
      </c>
      <c r="G21">
        <v>114750</v>
      </c>
    </row>
    <row r="22" spans="1:7">
      <c r="A22">
        <v>32</v>
      </c>
      <c r="B22">
        <v>320</v>
      </c>
      <c r="C22">
        <v>10</v>
      </c>
      <c r="D22">
        <v>8500</v>
      </c>
      <c r="E22">
        <v>60.9</v>
      </c>
      <c r="F22">
        <v>0</v>
      </c>
      <c r="G22">
        <v>85000</v>
      </c>
    </row>
    <row r="23" spans="1:7">
      <c r="A23">
        <v>22</v>
      </c>
      <c r="B23">
        <v>352</v>
      </c>
      <c r="C23">
        <v>16</v>
      </c>
      <c r="D23">
        <v>30000</v>
      </c>
      <c r="E23">
        <v>60.8</v>
      </c>
      <c r="F23">
        <v>0</v>
      </c>
      <c r="G23">
        <v>480000</v>
      </c>
    </row>
    <row r="24" spans="1:7">
      <c r="A24">
        <v>53</v>
      </c>
      <c r="B24">
        <v>715.5</v>
      </c>
      <c r="C24">
        <v>13.5</v>
      </c>
      <c r="D24">
        <v>20000</v>
      </c>
      <c r="E24">
        <v>60.8</v>
      </c>
      <c r="F24">
        <v>0</v>
      </c>
      <c r="G24">
        <v>270000</v>
      </c>
    </row>
    <row r="25" spans="1:7">
      <c r="A25">
        <v>44</v>
      </c>
      <c r="B25">
        <v>660</v>
      </c>
      <c r="C25">
        <v>15</v>
      </c>
      <c r="D25">
        <v>30000</v>
      </c>
      <c r="E25">
        <v>60.8</v>
      </c>
      <c r="F25">
        <v>1</v>
      </c>
      <c r="G25">
        <v>450000</v>
      </c>
    </row>
    <row r="26" spans="1:7">
      <c r="A26">
        <v>63</v>
      </c>
      <c r="B26">
        <v>630</v>
      </c>
      <c r="C26">
        <v>10</v>
      </c>
      <c r="D26">
        <v>20000</v>
      </c>
      <c r="E26">
        <v>60.8</v>
      </c>
      <c r="F26">
        <v>0</v>
      </c>
      <c r="G26">
        <v>200000</v>
      </c>
    </row>
    <row r="27" spans="1:7">
      <c r="A27">
        <v>28</v>
      </c>
      <c r="B27">
        <v>280</v>
      </c>
      <c r="C27">
        <v>10</v>
      </c>
      <c r="D27">
        <v>20000</v>
      </c>
      <c r="E27">
        <v>60.8</v>
      </c>
      <c r="F27">
        <v>1</v>
      </c>
      <c r="G27">
        <v>200000</v>
      </c>
    </row>
    <row r="28" spans="1:7">
      <c r="A28">
        <v>26</v>
      </c>
      <c r="B28">
        <v>351</v>
      </c>
      <c r="C28">
        <v>13.5</v>
      </c>
      <c r="D28">
        <v>12500</v>
      </c>
      <c r="E28">
        <v>60.8</v>
      </c>
      <c r="F28">
        <v>1</v>
      </c>
      <c r="G28">
        <v>168750</v>
      </c>
    </row>
    <row r="29" spans="1:7">
      <c r="A29">
        <v>34</v>
      </c>
      <c r="B29">
        <v>408</v>
      </c>
      <c r="C29">
        <v>12</v>
      </c>
      <c r="D29">
        <v>20000</v>
      </c>
      <c r="E29">
        <v>60.8</v>
      </c>
      <c r="F29">
        <v>1</v>
      </c>
      <c r="G29">
        <v>240000</v>
      </c>
    </row>
    <row r="30" spans="1:7">
      <c r="A30">
        <v>68</v>
      </c>
      <c r="B30">
        <v>544</v>
      </c>
      <c r="C30">
        <v>8</v>
      </c>
      <c r="D30">
        <v>8500</v>
      </c>
      <c r="E30">
        <v>60.8</v>
      </c>
      <c r="F30">
        <v>0</v>
      </c>
      <c r="G30">
        <v>68000</v>
      </c>
    </row>
    <row r="31" spans="1:7">
      <c r="A31">
        <v>48</v>
      </c>
      <c r="B31">
        <v>480</v>
      </c>
      <c r="C31">
        <v>10</v>
      </c>
      <c r="D31">
        <v>30000</v>
      </c>
      <c r="E31">
        <v>60.8</v>
      </c>
      <c r="F31">
        <v>1</v>
      </c>
      <c r="G31">
        <v>300000</v>
      </c>
    </row>
    <row r="32" spans="1:7">
      <c r="A32">
        <v>75</v>
      </c>
      <c r="B32">
        <v>600</v>
      </c>
      <c r="C32">
        <v>8</v>
      </c>
      <c r="D32">
        <v>12500</v>
      </c>
      <c r="E32">
        <v>61.5</v>
      </c>
      <c r="F32">
        <v>0</v>
      </c>
      <c r="G32">
        <v>100000</v>
      </c>
    </row>
    <row r="33" spans="1:7">
      <c r="A33">
        <v>33</v>
      </c>
      <c r="B33">
        <v>396</v>
      </c>
      <c r="C33">
        <v>12</v>
      </c>
      <c r="D33">
        <v>20000</v>
      </c>
      <c r="E33">
        <v>61.5</v>
      </c>
      <c r="F33">
        <v>0</v>
      </c>
      <c r="G33">
        <v>240000</v>
      </c>
    </row>
    <row r="34" spans="1:7">
      <c r="A34">
        <v>19</v>
      </c>
      <c r="B34">
        <v>256.5</v>
      </c>
      <c r="C34">
        <v>13.5</v>
      </c>
      <c r="D34">
        <v>30000</v>
      </c>
      <c r="E34">
        <v>61.5</v>
      </c>
      <c r="F34">
        <v>0</v>
      </c>
      <c r="G34">
        <v>405000</v>
      </c>
    </row>
    <row r="35" spans="1:7">
      <c r="A35">
        <v>71</v>
      </c>
      <c r="B35">
        <v>568</v>
      </c>
      <c r="C35">
        <v>8</v>
      </c>
      <c r="D35">
        <v>20000</v>
      </c>
      <c r="E35">
        <v>61.5</v>
      </c>
      <c r="F35">
        <v>1</v>
      </c>
      <c r="G35">
        <v>160000</v>
      </c>
    </row>
    <row r="36" spans="1:7">
      <c r="A36">
        <v>55</v>
      </c>
      <c r="B36">
        <v>825</v>
      </c>
      <c r="C36">
        <v>15</v>
      </c>
      <c r="D36">
        <v>12500</v>
      </c>
      <c r="E36">
        <v>61.5</v>
      </c>
      <c r="F36">
        <v>0</v>
      </c>
      <c r="G36">
        <v>187500</v>
      </c>
    </row>
    <row r="37" spans="1:7">
      <c r="A37">
        <v>40</v>
      </c>
      <c r="B37">
        <v>640</v>
      </c>
      <c r="C37">
        <v>16</v>
      </c>
      <c r="D37">
        <v>20000</v>
      </c>
      <c r="E37">
        <v>61.5</v>
      </c>
      <c r="F37">
        <v>0</v>
      </c>
      <c r="G37">
        <v>320000</v>
      </c>
    </row>
    <row r="38" spans="1:7">
      <c r="A38">
        <v>38</v>
      </c>
      <c r="B38">
        <v>684</v>
      </c>
      <c r="C38">
        <v>18</v>
      </c>
      <c r="D38">
        <v>30000</v>
      </c>
      <c r="E38">
        <v>61.5</v>
      </c>
      <c r="F38">
        <v>1</v>
      </c>
      <c r="G38">
        <v>540000</v>
      </c>
    </row>
    <row r="39" spans="1:7">
      <c r="A39">
        <v>55</v>
      </c>
      <c r="B39">
        <v>990</v>
      </c>
      <c r="C39">
        <v>18</v>
      </c>
      <c r="D39">
        <v>6500</v>
      </c>
      <c r="E39">
        <v>62.1</v>
      </c>
      <c r="F39">
        <v>0</v>
      </c>
      <c r="G39">
        <v>117000</v>
      </c>
    </row>
    <row r="40" spans="1:7">
      <c r="A40">
        <v>19</v>
      </c>
      <c r="B40">
        <v>190</v>
      </c>
      <c r="C40">
        <v>10</v>
      </c>
      <c r="D40">
        <v>4500</v>
      </c>
      <c r="E40">
        <v>62.1</v>
      </c>
      <c r="F40">
        <v>1</v>
      </c>
      <c r="G40">
        <v>45000</v>
      </c>
    </row>
    <row r="41" spans="1:7">
      <c r="A41">
        <v>77</v>
      </c>
      <c r="B41">
        <v>616</v>
      </c>
      <c r="C41">
        <v>8</v>
      </c>
      <c r="D41">
        <v>20000</v>
      </c>
      <c r="E41">
        <v>62.1</v>
      </c>
      <c r="F41">
        <v>0</v>
      </c>
      <c r="G41">
        <v>160000</v>
      </c>
    </row>
    <row r="42" spans="1:7">
      <c r="A42">
        <v>68</v>
      </c>
      <c r="B42">
        <v>680</v>
      </c>
      <c r="C42">
        <v>10</v>
      </c>
      <c r="D42">
        <v>5500</v>
      </c>
      <c r="E42">
        <v>62.1</v>
      </c>
      <c r="F42">
        <v>1</v>
      </c>
      <c r="G42">
        <v>55000</v>
      </c>
    </row>
    <row r="43" spans="1:7">
      <c r="A43">
        <v>27</v>
      </c>
      <c r="B43">
        <v>432</v>
      </c>
      <c r="C43">
        <v>16</v>
      </c>
      <c r="D43">
        <v>30000</v>
      </c>
      <c r="E43">
        <v>62.1</v>
      </c>
      <c r="F43">
        <v>0</v>
      </c>
      <c r="G43">
        <v>480000</v>
      </c>
    </row>
    <row r="44" spans="1:7">
      <c r="A44">
        <v>47</v>
      </c>
      <c r="B44">
        <v>846</v>
      </c>
      <c r="C44">
        <v>18</v>
      </c>
      <c r="D44">
        <v>30000</v>
      </c>
      <c r="E44">
        <v>62.1</v>
      </c>
      <c r="F44">
        <v>0</v>
      </c>
      <c r="G44">
        <v>540000</v>
      </c>
    </row>
    <row r="45" spans="1:7">
      <c r="A45">
        <v>70</v>
      </c>
      <c r="B45">
        <v>945</v>
      </c>
      <c r="C45">
        <v>13.5</v>
      </c>
      <c r="D45">
        <v>12500</v>
      </c>
      <c r="E45">
        <v>62.1</v>
      </c>
      <c r="F45">
        <v>0</v>
      </c>
      <c r="G45">
        <v>168750</v>
      </c>
    </row>
    <row r="46" spans="1:7">
      <c r="A46">
        <v>40</v>
      </c>
      <c r="B46">
        <v>720</v>
      </c>
      <c r="C46">
        <v>18</v>
      </c>
      <c r="D46">
        <v>30000</v>
      </c>
      <c r="E46">
        <v>62.1</v>
      </c>
      <c r="F46">
        <v>0</v>
      </c>
      <c r="G46">
        <v>540000</v>
      </c>
    </row>
    <row r="47" spans="1:7">
      <c r="A47">
        <v>47</v>
      </c>
      <c r="B47">
        <v>376</v>
      </c>
      <c r="C47">
        <v>8</v>
      </c>
      <c r="D47">
        <v>20000</v>
      </c>
      <c r="E47">
        <v>62.1</v>
      </c>
      <c r="F47">
        <v>0</v>
      </c>
      <c r="G47">
        <v>160000</v>
      </c>
    </row>
    <row r="48" spans="1:7">
      <c r="A48">
        <v>31</v>
      </c>
      <c r="B48">
        <v>558</v>
      </c>
      <c r="C48">
        <v>18</v>
      </c>
      <c r="D48">
        <v>30000</v>
      </c>
      <c r="E48">
        <v>62.1</v>
      </c>
      <c r="F48">
        <v>0</v>
      </c>
      <c r="G48">
        <v>540000</v>
      </c>
    </row>
    <row r="49" spans="1:7">
      <c r="A49">
        <v>40</v>
      </c>
      <c r="B49">
        <v>540</v>
      </c>
      <c r="C49">
        <v>13.5</v>
      </c>
      <c r="D49">
        <v>30000</v>
      </c>
      <c r="E49">
        <v>62.1</v>
      </c>
      <c r="F49">
        <v>1</v>
      </c>
      <c r="G49">
        <v>405000</v>
      </c>
    </row>
    <row r="50" spans="1:7">
      <c r="A50">
        <v>47</v>
      </c>
      <c r="B50">
        <v>634.5</v>
      </c>
      <c r="C50">
        <v>13.5</v>
      </c>
      <c r="D50">
        <v>30000</v>
      </c>
      <c r="E50">
        <v>62.1</v>
      </c>
      <c r="F50">
        <v>0</v>
      </c>
      <c r="G50">
        <v>405000</v>
      </c>
    </row>
    <row r="51" spans="1:7">
      <c r="A51">
        <v>25</v>
      </c>
      <c r="B51">
        <v>337.5</v>
      </c>
      <c r="C51">
        <v>13.5</v>
      </c>
      <c r="D51">
        <v>4500</v>
      </c>
      <c r="E51">
        <v>62.1</v>
      </c>
      <c r="F51">
        <v>0</v>
      </c>
      <c r="G51">
        <v>60750</v>
      </c>
    </row>
    <row r="52" spans="1:7">
      <c r="A52">
        <v>31</v>
      </c>
      <c r="B52">
        <v>372</v>
      </c>
      <c r="C52">
        <v>12</v>
      </c>
      <c r="D52">
        <v>12500</v>
      </c>
      <c r="E52">
        <v>62.1</v>
      </c>
      <c r="F52">
        <v>0</v>
      </c>
      <c r="G52">
        <v>150000</v>
      </c>
    </row>
    <row r="53" spans="1:7">
      <c r="A53">
        <v>29</v>
      </c>
      <c r="B53">
        <v>391.5</v>
      </c>
      <c r="C53">
        <v>13.5</v>
      </c>
      <c r="D53">
        <v>20000</v>
      </c>
      <c r="E53">
        <v>62.1</v>
      </c>
      <c r="F53">
        <v>1</v>
      </c>
      <c r="G53">
        <v>270000</v>
      </c>
    </row>
    <row r="54" spans="1:7">
      <c r="A54">
        <v>28</v>
      </c>
      <c r="B54">
        <v>378</v>
      </c>
      <c r="C54">
        <v>13.5</v>
      </c>
      <c r="D54">
        <v>20000</v>
      </c>
      <c r="E54">
        <v>62.1</v>
      </c>
      <c r="F54">
        <v>1</v>
      </c>
      <c r="G54">
        <v>270000</v>
      </c>
    </row>
    <row r="55" spans="1:7">
      <c r="A55">
        <v>57</v>
      </c>
      <c r="B55">
        <v>684</v>
      </c>
      <c r="C55">
        <v>12</v>
      </c>
      <c r="D55">
        <v>20000</v>
      </c>
      <c r="E55">
        <v>62.1</v>
      </c>
      <c r="F55">
        <v>0</v>
      </c>
      <c r="G55">
        <v>240000</v>
      </c>
    </row>
    <row r="56" spans="1:7">
      <c r="A56">
        <v>48</v>
      </c>
      <c r="B56">
        <v>576</v>
      </c>
      <c r="C56">
        <v>12</v>
      </c>
      <c r="D56">
        <v>20000</v>
      </c>
      <c r="E56">
        <v>62.1</v>
      </c>
      <c r="F56">
        <v>0</v>
      </c>
      <c r="G56">
        <v>240000</v>
      </c>
    </row>
    <row r="57" spans="1:7">
      <c r="A57">
        <v>45</v>
      </c>
      <c r="B57">
        <v>540</v>
      </c>
      <c r="C57">
        <v>12</v>
      </c>
      <c r="D57">
        <v>12500</v>
      </c>
      <c r="E57">
        <v>62.1</v>
      </c>
      <c r="F57">
        <v>0</v>
      </c>
      <c r="G57">
        <v>150000</v>
      </c>
    </row>
    <row r="58" spans="1:7">
      <c r="A58">
        <v>18</v>
      </c>
      <c r="B58">
        <v>216</v>
      </c>
      <c r="C58">
        <v>12</v>
      </c>
      <c r="D58">
        <v>12500</v>
      </c>
      <c r="E58">
        <v>62.1</v>
      </c>
      <c r="F58">
        <v>1</v>
      </c>
      <c r="G58">
        <v>150000</v>
      </c>
    </row>
    <row r="59" spans="1:7">
      <c r="A59">
        <v>75</v>
      </c>
      <c r="B59">
        <v>750</v>
      </c>
      <c r="C59">
        <v>10</v>
      </c>
      <c r="D59">
        <v>8500</v>
      </c>
      <c r="E59">
        <v>62.1</v>
      </c>
      <c r="F59">
        <v>0</v>
      </c>
      <c r="G59">
        <v>85000</v>
      </c>
    </row>
    <row r="60" spans="1:7">
      <c r="A60">
        <v>53</v>
      </c>
      <c r="B60">
        <v>530</v>
      </c>
      <c r="C60">
        <v>10</v>
      </c>
      <c r="D60">
        <v>8500</v>
      </c>
      <c r="E60">
        <v>62.1</v>
      </c>
      <c r="F60">
        <v>0</v>
      </c>
      <c r="G60">
        <v>85000</v>
      </c>
    </row>
    <row r="61" spans="1:7">
      <c r="A61">
        <v>54</v>
      </c>
      <c r="B61">
        <v>648</v>
      </c>
      <c r="C61">
        <v>12</v>
      </c>
      <c r="D61">
        <v>20000</v>
      </c>
      <c r="E61">
        <v>62.1</v>
      </c>
      <c r="F61">
        <v>1</v>
      </c>
      <c r="G61">
        <v>240000</v>
      </c>
    </row>
    <row r="62" spans="1:7">
      <c r="A62">
        <v>17</v>
      </c>
      <c r="B62">
        <v>170</v>
      </c>
      <c r="C62">
        <v>10</v>
      </c>
      <c r="D62">
        <v>12500</v>
      </c>
      <c r="E62">
        <v>62.1</v>
      </c>
      <c r="F62">
        <v>0</v>
      </c>
      <c r="G62">
        <v>125000</v>
      </c>
    </row>
    <row r="63" spans="1:7">
      <c r="A63">
        <v>70</v>
      </c>
      <c r="B63">
        <v>1120</v>
      </c>
      <c r="C63">
        <v>16</v>
      </c>
      <c r="D63">
        <v>30000</v>
      </c>
      <c r="E63">
        <v>62.1</v>
      </c>
      <c r="F63">
        <v>0</v>
      </c>
      <c r="G63">
        <v>480000</v>
      </c>
    </row>
    <row r="64" spans="1:7">
      <c r="A64">
        <v>29</v>
      </c>
      <c r="B64">
        <v>348</v>
      </c>
      <c r="C64">
        <v>12</v>
      </c>
      <c r="D64">
        <v>20000</v>
      </c>
      <c r="E64">
        <v>62.1</v>
      </c>
      <c r="F64">
        <v>0</v>
      </c>
      <c r="G64">
        <v>240000</v>
      </c>
    </row>
    <row r="65" spans="1:7">
      <c r="A65">
        <v>75</v>
      </c>
      <c r="B65">
        <v>750</v>
      </c>
      <c r="C65">
        <v>10</v>
      </c>
      <c r="D65">
        <v>8500</v>
      </c>
      <c r="E65">
        <v>62.1</v>
      </c>
      <c r="F65">
        <v>0</v>
      </c>
      <c r="G65">
        <v>85000</v>
      </c>
    </row>
    <row r="66" spans="1:7">
      <c r="A66">
        <v>19</v>
      </c>
      <c r="B66">
        <v>228</v>
      </c>
      <c r="C66">
        <v>12</v>
      </c>
      <c r="D66">
        <v>20000</v>
      </c>
      <c r="E66">
        <v>62.1</v>
      </c>
      <c r="F66">
        <v>0</v>
      </c>
      <c r="G66">
        <v>240000</v>
      </c>
    </row>
    <row r="67" spans="1:7">
      <c r="A67">
        <v>30</v>
      </c>
      <c r="B67">
        <v>405</v>
      </c>
      <c r="C67">
        <v>13.5</v>
      </c>
      <c r="D67">
        <v>30000</v>
      </c>
      <c r="E67">
        <v>62.1</v>
      </c>
      <c r="F67">
        <v>0</v>
      </c>
      <c r="G67">
        <v>405000</v>
      </c>
    </row>
    <row r="68" spans="1:7">
      <c r="A68">
        <v>27</v>
      </c>
      <c r="B68">
        <v>324</v>
      </c>
      <c r="C68">
        <v>12</v>
      </c>
      <c r="D68">
        <v>30000</v>
      </c>
      <c r="E68">
        <v>62.1</v>
      </c>
      <c r="F68">
        <v>1</v>
      </c>
      <c r="G68">
        <v>360000</v>
      </c>
    </row>
    <row r="69" spans="1:7">
      <c r="A69">
        <v>31</v>
      </c>
      <c r="B69">
        <v>496</v>
      </c>
      <c r="C69">
        <v>16</v>
      </c>
      <c r="D69">
        <v>30000</v>
      </c>
      <c r="E69">
        <v>62.1</v>
      </c>
      <c r="F69">
        <v>0</v>
      </c>
      <c r="G69">
        <v>480000</v>
      </c>
    </row>
    <row r="70" spans="1:7">
      <c r="A70">
        <v>44</v>
      </c>
      <c r="B70">
        <v>264</v>
      </c>
      <c r="C70">
        <v>6</v>
      </c>
      <c r="D70">
        <v>8500</v>
      </c>
      <c r="E70">
        <v>62.1</v>
      </c>
      <c r="F70">
        <v>0</v>
      </c>
      <c r="G70">
        <v>51000</v>
      </c>
    </row>
    <row r="71" spans="1:7">
      <c r="A71">
        <v>39</v>
      </c>
      <c r="B71">
        <v>468</v>
      </c>
      <c r="C71">
        <v>12</v>
      </c>
      <c r="D71">
        <v>20000</v>
      </c>
      <c r="E71">
        <v>62.1</v>
      </c>
      <c r="F71">
        <v>0</v>
      </c>
      <c r="G71">
        <v>240000</v>
      </c>
    </row>
    <row r="72" spans="1:7">
      <c r="A72">
        <v>27</v>
      </c>
      <c r="B72">
        <v>324</v>
      </c>
      <c r="C72">
        <v>12</v>
      </c>
      <c r="D72">
        <v>500</v>
      </c>
      <c r="E72">
        <v>62.1</v>
      </c>
      <c r="F72">
        <v>1</v>
      </c>
      <c r="G72">
        <v>6000</v>
      </c>
    </row>
    <row r="73" spans="1:7">
      <c r="A73">
        <v>30</v>
      </c>
      <c r="B73">
        <v>480</v>
      </c>
      <c r="C73">
        <v>16</v>
      </c>
      <c r="D73">
        <v>6500</v>
      </c>
      <c r="E73">
        <v>62.1</v>
      </c>
      <c r="F73">
        <v>0</v>
      </c>
      <c r="G73">
        <v>104000</v>
      </c>
    </row>
    <row r="74" spans="1:7">
      <c r="A74">
        <v>28</v>
      </c>
      <c r="B74">
        <v>378</v>
      </c>
      <c r="C74">
        <v>13.5</v>
      </c>
      <c r="D74">
        <v>12500</v>
      </c>
      <c r="E74">
        <v>62.1</v>
      </c>
      <c r="F74">
        <v>0</v>
      </c>
      <c r="G74">
        <v>168750</v>
      </c>
    </row>
    <row r="75" spans="1:7">
      <c r="A75">
        <v>19</v>
      </c>
      <c r="B75">
        <v>228</v>
      </c>
      <c r="C75">
        <v>12</v>
      </c>
      <c r="D75">
        <v>12500</v>
      </c>
      <c r="E75">
        <v>62.1</v>
      </c>
      <c r="F75">
        <v>0</v>
      </c>
      <c r="G75">
        <v>150000</v>
      </c>
    </row>
    <row r="76" spans="1:7">
      <c r="A76">
        <v>43</v>
      </c>
      <c r="B76">
        <v>516</v>
      </c>
      <c r="C76">
        <v>12</v>
      </c>
      <c r="D76">
        <v>20000</v>
      </c>
      <c r="E76">
        <v>62.1</v>
      </c>
      <c r="F76">
        <v>0</v>
      </c>
      <c r="G76">
        <v>240000</v>
      </c>
    </row>
    <row r="77" spans="1:7">
      <c r="A77">
        <v>30</v>
      </c>
      <c r="B77">
        <v>405</v>
      </c>
      <c r="C77">
        <v>13.5</v>
      </c>
      <c r="D77">
        <v>20000</v>
      </c>
      <c r="E77">
        <v>62.1</v>
      </c>
      <c r="F77">
        <v>0</v>
      </c>
      <c r="G77">
        <v>270000</v>
      </c>
    </row>
    <row r="78" spans="1:7">
      <c r="A78">
        <v>43</v>
      </c>
      <c r="B78">
        <v>580.5</v>
      </c>
      <c r="C78">
        <v>13.5</v>
      </c>
      <c r="D78">
        <v>20000</v>
      </c>
      <c r="E78">
        <v>62.1</v>
      </c>
      <c r="F78">
        <v>1</v>
      </c>
      <c r="G78">
        <v>270000</v>
      </c>
    </row>
    <row r="79" spans="1:7">
      <c r="A79">
        <v>82</v>
      </c>
      <c r="B79">
        <v>820</v>
      </c>
      <c r="C79">
        <v>10</v>
      </c>
      <c r="D79">
        <v>12500</v>
      </c>
      <c r="E79">
        <v>62.1</v>
      </c>
      <c r="F79">
        <v>0</v>
      </c>
      <c r="G79">
        <v>125000</v>
      </c>
    </row>
    <row r="80" spans="1:7">
      <c r="A80">
        <v>63</v>
      </c>
      <c r="B80">
        <v>756</v>
      </c>
      <c r="C80">
        <v>12</v>
      </c>
      <c r="D80">
        <v>20000</v>
      </c>
      <c r="E80">
        <v>62.1</v>
      </c>
      <c r="F80">
        <v>0</v>
      </c>
      <c r="G80">
        <v>240000</v>
      </c>
    </row>
    <row r="81" spans="1:7">
      <c r="A81">
        <v>18</v>
      </c>
      <c r="B81">
        <v>180</v>
      </c>
      <c r="C81">
        <v>10</v>
      </c>
      <c r="D81">
        <v>30000</v>
      </c>
      <c r="E81">
        <v>62.1</v>
      </c>
      <c r="F81">
        <v>0</v>
      </c>
      <c r="G81">
        <v>300000</v>
      </c>
    </row>
    <row r="82" spans="1:7">
      <c r="A82">
        <v>50</v>
      </c>
      <c r="B82">
        <v>500</v>
      </c>
      <c r="C82">
        <v>10</v>
      </c>
      <c r="D82">
        <v>20000</v>
      </c>
      <c r="E82">
        <v>62.1</v>
      </c>
      <c r="F82">
        <v>1</v>
      </c>
      <c r="G82">
        <v>200000</v>
      </c>
    </row>
    <row r="83" spans="1:7">
      <c r="A83">
        <v>68</v>
      </c>
      <c r="B83">
        <v>816</v>
      </c>
      <c r="C83">
        <v>12</v>
      </c>
      <c r="D83">
        <v>8500</v>
      </c>
      <c r="E83">
        <v>62.1</v>
      </c>
      <c r="F83">
        <v>0</v>
      </c>
      <c r="G83">
        <v>102000</v>
      </c>
    </row>
    <row r="84" spans="1:7">
      <c r="A84">
        <v>75</v>
      </c>
      <c r="B84">
        <v>600</v>
      </c>
      <c r="C84">
        <v>8</v>
      </c>
      <c r="D84">
        <v>8500</v>
      </c>
      <c r="E84">
        <v>62.1</v>
      </c>
      <c r="F84">
        <v>0</v>
      </c>
      <c r="G84">
        <v>68000</v>
      </c>
    </row>
    <row r="85" spans="1:7">
      <c r="A85">
        <v>41</v>
      </c>
      <c r="B85">
        <v>553.5</v>
      </c>
      <c r="C85">
        <v>13.5</v>
      </c>
      <c r="D85">
        <v>30000</v>
      </c>
      <c r="E85">
        <v>62.1</v>
      </c>
      <c r="F85">
        <v>1</v>
      </c>
      <c r="G85">
        <v>405000</v>
      </c>
    </row>
    <row r="86" spans="1:7">
      <c r="A86">
        <v>25</v>
      </c>
      <c r="B86">
        <v>300</v>
      </c>
      <c r="C86">
        <v>12</v>
      </c>
      <c r="D86">
        <v>30000</v>
      </c>
      <c r="E86">
        <v>62.1</v>
      </c>
      <c r="F86">
        <v>1</v>
      </c>
      <c r="G86">
        <v>360000</v>
      </c>
    </row>
    <row r="87" spans="1:7">
      <c r="A87">
        <v>27</v>
      </c>
      <c r="B87">
        <v>432</v>
      </c>
      <c r="C87">
        <v>16</v>
      </c>
      <c r="D87">
        <v>30000</v>
      </c>
      <c r="E87">
        <v>62.1</v>
      </c>
      <c r="F87">
        <v>1</v>
      </c>
      <c r="G87">
        <v>480000</v>
      </c>
    </row>
    <row r="88" spans="1:7">
      <c r="A88">
        <v>52</v>
      </c>
      <c r="B88">
        <v>624</v>
      </c>
      <c r="C88">
        <v>12</v>
      </c>
      <c r="D88">
        <v>30000</v>
      </c>
      <c r="E88">
        <v>62.1</v>
      </c>
      <c r="F88">
        <v>0</v>
      </c>
      <c r="G88">
        <v>360000</v>
      </c>
    </row>
    <row r="89" spans="1:7">
      <c r="A89">
        <v>48</v>
      </c>
      <c r="B89">
        <v>480</v>
      </c>
      <c r="C89">
        <v>10</v>
      </c>
      <c r="D89">
        <v>20000</v>
      </c>
      <c r="E89">
        <v>62.1</v>
      </c>
      <c r="F89">
        <v>1</v>
      </c>
      <c r="G89">
        <v>200000</v>
      </c>
    </row>
    <row r="90" spans="1:7">
      <c r="A90">
        <v>68</v>
      </c>
      <c r="B90">
        <v>1088</v>
      </c>
      <c r="C90">
        <v>16</v>
      </c>
      <c r="D90">
        <v>30000</v>
      </c>
      <c r="E90">
        <v>62.1</v>
      </c>
      <c r="F90">
        <v>1</v>
      </c>
      <c r="G90">
        <v>480000</v>
      </c>
    </row>
    <row r="91" spans="1:7">
      <c r="A91">
        <v>19</v>
      </c>
      <c r="B91">
        <v>152</v>
      </c>
      <c r="C91">
        <v>8</v>
      </c>
      <c r="D91">
        <v>12500</v>
      </c>
      <c r="E91">
        <v>62.1</v>
      </c>
      <c r="F91">
        <v>1</v>
      </c>
      <c r="G91">
        <v>100000</v>
      </c>
    </row>
    <row r="92" spans="1:7">
      <c r="A92">
        <v>54</v>
      </c>
      <c r="B92">
        <v>648</v>
      </c>
      <c r="C92">
        <v>12</v>
      </c>
      <c r="D92">
        <v>30000</v>
      </c>
      <c r="E92">
        <v>62.1</v>
      </c>
      <c r="F92">
        <v>1</v>
      </c>
      <c r="G92">
        <v>360000</v>
      </c>
    </row>
    <row r="93" spans="1:7">
      <c r="A93">
        <v>51</v>
      </c>
      <c r="B93">
        <v>816</v>
      </c>
      <c r="C93">
        <v>16</v>
      </c>
      <c r="D93">
        <v>12500</v>
      </c>
      <c r="E93">
        <v>62.1</v>
      </c>
      <c r="F93">
        <v>1</v>
      </c>
      <c r="G93">
        <v>200000</v>
      </c>
    </row>
    <row r="94" spans="1:7">
      <c r="A94">
        <v>24</v>
      </c>
      <c r="B94">
        <v>288</v>
      </c>
      <c r="C94">
        <v>12</v>
      </c>
      <c r="D94">
        <v>30000</v>
      </c>
      <c r="E94">
        <v>62.1</v>
      </c>
      <c r="F94">
        <v>0</v>
      </c>
      <c r="G94">
        <v>360000</v>
      </c>
    </row>
    <row r="95" spans="1:7">
      <c r="A95">
        <v>43</v>
      </c>
      <c r="B95">
        <v>107.5</v>
      </c>
      <c r="C95">
        <v>2.5</v>
      </c>
      <c r="D95">
        <v>30000</v>
      </c>
      <c r="E95">
        <v>62.1</v>
      </c>
      <c r="F95">
        <v>0</v>
      </c>
      <c r="G95">
        <v>75000</v>
      </c>
    </row>
    <row r="96" spans="1:7">
      <c r="A96">
        <v>58</v>
      </c>
      <c r="B96">
        <v>348</v>
      </c>
      <c r="C96">
        <v>6</v>
      </c>
      <c r="D96">
        <v>4500</v>
      </c>
      <c r="E96">
        <v>62.1</v>
      </c>
      <c r="F96">
        <v>1</v>
      </c>
      <c r="G96">
        <v>27000</v>
      </c>
    </row>
    <row r="97" spans="1:7">
      <c r="A97">
        <v>39</v>
      </c>
      <c r="B97">
        <v>468</v>
      </c>
      <c r="C97">
        <v>12</v>
      </c>
      <c r="D97">
        <v>20000</v>
      </c>
      <c r="E97">
        <v>62.1</v>
      </c>
      <c r="F97">
        <v>0</v>
      </c>
      <c r="G97">
        <v>240000</v>
      </c>
    </row>
    <row r="98" spans="1:7">
      <c r="A98">
        <v>54</v>
      </c>
      <c r="B98">
        <v>324</v>
      </c>
      <c r="C98">
        <v>6</v>
      </c>
      <c r="D98">
        <v>4500</v>
      </c>
      <c r="E98">
        <v>62.1</v>
      </c>
      <c r="F98">
        <v>1</v>
      </c>
      <c r="G98">
        <v>27000</v>
      </c>
    </row>
    <row r="99" spans="1:7">
      <c r="A99">
        <v>33</v>
      </c>
      <c r="B99">
        <v>396</v>
      </c>
      <c r="C99">
        <v>12</v>
      </c>
      <c r="D99">
        <v>12500</v>
      </c>
      <c r="E99">
        <v>62.1</v>
      </c>
      <c r="F99">
        <v>0</v>
      </c>
      <c r="G99">
        <v>150000</v>
      </c>
    </row>
    <row r="100" spans="1:7">
      <c r="A100">
        <v>44</v>
      </c>
      <c r="B100">
        <v>0</v>
      </c>
      <c r="C100">
        <v>0</v>
      </c>
      <c r="D100">
        <v>5500</v>
      </c>
      <c r="E100">
        <v>62.1</v>
      </c>
      <c r="F100">
        <v>0</v>
      </c>
      <c r="G100">
        <v>0</v>
      </c>
    </row>
    <row r="101" spans="1:7">
      <c r="A101">
        <v>28</v>
      </c>
      <c r="B101">
        <v>336</v>
      </c>
      <c r="C101">
        <v>12</v>
      </c>
      <c r="D101">
        <v>30000</v>
      </c>
      <c r="E101">
        <v>62.1</v>
      </c>
      <c r="F101">
        <v>0</v>
      </c>
      <c r="G101">
        <v>360000</v>
      </c>
    </row>
    <row r="102" spans="1:7">
      <c r="A102">
        <v>54</v>
      </c>
      <c r="B102">
        <v>729</v>
      </c>
      <c r="C102">
        <v>13.5</v>
      </c>
      <c r="D102">
        <v>20000</v>
      </c>
      <c r="E102">
        <v>62.1</v>
      </c>
      <c r="F102">
        <v>1</v>
      </c>
      <c r="G102">
        <v>270000</v>
      </c>
    </row>
    <row r="103" spans="1:7">
      <c r="A103">
        <v>25</v>
      </c>
      <c r="B103">
        <v>400</v>
      </c>
      <c r="C103">
        <v>16</v>
      </c>
      <c r="D103">
        <v>20000</v>
      </c>
      <c r="E103">
        <v>62.1</v>
      </c>
      <c r="F103">
        <v>0</v>
      </c>
      <c r="G103">
        <v>320000</v>
      </c>
    </row>
    <row r="104" spans="1:7">
      <c r="A104">
        <v>27</v>
      </c>
      <c r="B104">
        <v>405</v>
      </c>
      <c r="C104">
        <v>15</v>
      </c>
      <c r="D104">
        <v>20000</v>
      </c>
      <c r="E104">
        <v>62.1</v>
      </c>
      <c r="F104">
        <v>0</v>
      </c>
      <c r="G104">
        <v>300000</v>
      </c>
    </row>
    <row r="105" spans="1:7">
      <c r="A105">
        <v>21</v>
      </c>
      <c r="B105">
        <v>210</v>
      </c>
      <c r="C105">
        <v>10</v>
      </c>
      <c r="D105">
        <v>30000</v>
      </c>
      <c r="E105">
        <v>62.1</v>
      </c>
      <c r="F105">
        <v>1</v>
      </c>
      <c r="G105">
        <v>300000</v>
      </c>
    </row>
    <row r="106" spans="1:7">
      <c r="A106">
        <v>28</v>
      </c>
      <c r="B106">
        <v>504</v>
      </c>
      <c r="C106">
        <v>18</v>
      </c>
      <c r="D106">
        <v>20000</v>
      </c>
      <c r="E106">
        <v>62.1</v>
      </c>
      <c r="F106">
        <v>0</v>
      </c>
      <c r="G106">
        <v>360000</v>
      </c>
    </row>
    <row r="107" spans="1:7">
      <c r="A107">
        <v>41</v>
      </c>
      <c r="B107">
        <v>410</v>
      </c>
      <c r="C107">
        <v>10</v>
      </c>
      <c r="D107">
        <v>20000</v>
      </c>
      <c r="E107">
        <v>62.1</v>
      </c>
      <c r="F107">
        <v>0</v>
      </c>
      <c r="G107">
        <v>200000</v>
      </c>
    </row>
    <row r="108" spans="1:7">
      <c r="A108">
        <v>62</v>
      </c>
      <c r="B108">
        <v>992</v>
      </c>
      <c r="C108">
        <v>16</v>
      </c>
      <c r="D108">
        <v>20000</v>
      </c>
      <c r="E108">
        <v>62.1</v>
      </c>
      <c r="F108">
        <v>0</v>
      </c>
      <c r="G108">
        <v>320000</v>
      </c>
    </row>
    <row r="109" spans="1:7">
      <c r="A109">
        <v>53</v>
      </c>
      <c r="B109">
        <v>530</v>
      </c>
      <c r="C109">
        <v>10</v>
      </c>
      <c r="D109">
        <v>30000</v>
      </c>
      <c r="E109">
        <v>62.1</v>
      </c>
      <c r="F109">
        <v>1</v>
      </c>
      <c r="G109">
        <v>300000</v>
      </c>
    </row>
    <row r="110" spans="1:7">
      <c r="A110">
        <v>26</v>
      </c>
      <c r="B110">
        <v>390</v>
      </c>
      <c r="C110">
        <v>15</v>
      </c>
      <c r="D110">
        <v>20000</v>
      </c>
      <c r="E110">
        <v>62.1</v>
      </c>
      <c r="F110">
        <v>0</v>
      </c>
      <c r="G110">
        <v>300000</v>
      </c>
    </row>
    <row r="111" spans="1:7">
      <c r="A111">
        <v>53</v>
      </c>
      <c r="B111">
        <v>848</v>
      </c>
      <c r="C111">
        <v>16</v>
      </c>
      <c r="D111">
        <v>20000</v>
      </c>
      <c r="E111">
        <v>62.1</v>
      </c>
      <c r="F111">
        <v>0</v>
      </c>
      <c r="G111">
        <v>320000</v>
      </c>
    </row>
    <row r="112" spans="1:7">
      <c r="A112">
        <v>35</v>
      </c>
      <c r="B112">
        <v>210</v>
      </c>
      <c r="C112">
        <v>6</v>
      </c>
      <c r="D112">
        <v>12500</v>
      </c>
      <c r="E112">
        <v>62.1</v>
      </c>
      <c r="F112">
        <v>0</v>
      </c>
      <c r="G112">
        <v>75000</v>
      </c>
    </row>
    <row r="113" spans="1:7">
      <c r="A113">
        <v>68</v>
      </c>
      <c r="B113">
        <v>816</v>
      </c>
      <c r="C113">
        <v>12</v>
      </c>
      <c r="D113">
        <v>2500</v>
      </c>
      <c r="E113">
        <v>62.1</v>
      </c>
      <c r="F113">
        <v>1</v>
      </c>
      <c r="G113">
        <v>30000</v>
      </c>
    </row>
    <row r="114" spans="1:7">
      <c r="A114">
        <v>38</v>
      </c>
      <c r="B114">
        <v>684</v>
      </c>
      <c r="C114">
        <v>18</v>
      </c>
      <c r="D114">
        <v>30000</v>
      </c>
      <c r="E114">
        <v>62.1</v>
      </c>
      <c r="F114">
        <v>0</v>
      </c>
      <c r="G114">
        <v>540000</v>
      </c>
    </row>
    <row r="115" spans="1:7">
      <c r="A115">
        <v>50</v>
      </c>
      <c r="B115">
        <v>900</v>
      </c>
      <c r="C115">
        <v>18</v>
      </c>
      <c r="D115">
        <v>30000</v>
      </c>
      <c r="E115">
        <v>62.1</v>
      </c>
      <c r="F115">
        <v>0</v>
      </c>
      <c r="G115">
        <v>540000</v>
      </c>
    </row>
    <row r="116" spans="1:7">
      <c r="A116">
        <v>32</v>
      </c>
      <c r="B116">
        <v>320</v>
      </c>
      <c r="C116">
        <v>10</v>
      </c>
      <c r="D116">
        <v>20000</v>
      </c>
      <c r="E116">
        <v>62.1</v>
      </c>
      <c r="F116">
        <v>1</v>
      </c>
      <c r="G116">
        <v>200000</v>
      </c>
    </row>
    <row r="117" spans="1:7">
      <c r="A117">
        <v>26</v>
      </c>
      <c r="B117">
        <v>312</v>
      </c>
      <c r="C117">
        <v>12</v>
      </c>
      <c r="D117">
        <v>12500</v>
      </c>
      <c r="E117">
        <v>62.1</v>
      </c>
      <c r="F117">
        <v>1</v>
      </c>
      <c r="G117">
        <v>150000</v>
      </c>
    </row>
    <row r="118" spans="1:7">
      <c r="A118">
        <v>18</v>
      </c>
      <c r="B118">
        <v>216</v>
      </c>
      <c r="C118">
        <v>12</v>
      </c>
      <c r="D118">
        <v>30000</v>
      </c>
      <c r="E118">
        <v>62.1</v>
      </c>
      <c r="F118">
        <v>0</v>
      </c>
      <c r="G118">
        <v>360000</v>
      </c>
    </row>
    <row r="119" spans="1:7">
      <c r="A119">
        <v>18</v>
      </c>
      <c r="B119">
        <v>180</v>
      </c>
      <c r="C119">
        <v>10</v>
      </c>
      <c r="D119">
        <v>20000</v>
      </c>
      <c r="E119">
        <v>62.1</v>
      </c>
      <c r="F119">
        <v>0</v>
      </c>
      <c r="G119">
        <v>200000</v>
      </c>
    </row>
    <row r="120" spans="1:7">
      <c r="A120">
        <v>45</v>
      </c>
      <c r="B120">
        <v>720</v>
      </c>
      <c r="C120">
        <v>16</v>
      </c>
      <c r="D120">
        <v>30000</v>
      </c>
      <c r="E120">
        <v>62.1</v>
      </c>
      <c r="F120">
        <v>0</v>
      </c>
      <c r="G120">
        <v>480000</v>
      </c>
    </row>
    <row r="121" spans="1:7">
      <c r="A121">
        <v>64</v>
      </c>
      <c r="B121">
        <v>1024</v>
      </c>
      <c r="C121">
        <v>16</v>
      </c>
      <c r="D121">
        <v>12500</v>
      </c>
      <c r="E121">
        <v>62.1</v>
      </c>
      <c r="F121">
        <v>0</v>
      </c>
      <c r="G121">
        <v>200000</v>
      </c>
    </row>
    <row r="122" spans="1:7">
      <c r="A122">
        <v>31</v>
      </c>
      <c r="B122">
        <v>418.5</v>
      </c>
      <c r="C122">
        <v>13.5</v>
      </c>
      <c r="D122">
        <v>20000</v>
      </c>
      <c r="E122">
        <v>62.1</v>
      </c>
      <c r="F122">
        <v>1</v>
      </c>
      <c r="G122">
        <v>270000</v>
      </c>
    </row>
    <row r="123" spans="1:7">
      <c r="A123">
        <v>42</v>
      </c>
      <c r="B123">
        <v>504</v>
      </c>
      <c r="C123">
        <v>12</v>
      </c>
      <c r="D123">
        <v>30000</v>
      </c>
      <c r="E123">
        <v>62.1</v>
      </c>
      <c r="F123">
        <v>1</v>
      </c>
      <c r="G123">
        <v>360000</v>
      </c>
    </row>
    <row r="124" spans="1:7">
      <c r="A124">
        <v>31</v>
      </c>
      <c r="B124">
        <v>418.5</v>
      </c>
      <c r="C124">
        <v>13.5</v>
      </c>
      <c r="D124">
        <v>12500</v>
      </c>
      <c r="E124">
        <v>62.1</v>
      </c>
      <c r="F124">
        <v>1</v>
      </c>
      <c r="G124">
        <v>168750</v>
      </c>
    </row>
    <row r="125" spans="1:7">
      <c r="A125">
        <v>65</v>
      </c>
      <c r="B125">
        <v>780</v>
      </c>
      <c r="C125">
        <v>12</v>
      </c>
      <c r="D125">
        <v>12500</v>
      </c>
      <c r="E125">
        <v>62.1</v>
      </c>
      <c r="F125">
        <v>0</v>
      </c>
      <c r="G125">
        <v>150000</v>
      </c>
    </row>
    <row r="126" spans="1:7">
      <c r="A126">
        <v>53</v>
      </c>
      <c r="B126">
        <v>795</v>
      </c>
      <c r="C126">
        <v>15</v>
      </c>
      <c r="D126">
        <v>30000</v>
      </c>
      <c r="E126">
        <v>62.1</v>
      </c>
      <c r="F126">
        <v>0</v>
      </c>
      <c r="G126">
        <v>450000</v>
      </c>
    </row>
    <row r="127" spans="1:7">
      <c r="A127">
        <v>25</v>
      </c>
      <c r="B127">
        <v>337.5</v>
      </c>
      <c r="C127">
        <v>13.5</v>
      </c>
      <c r="D127">
        <v>30000</v>
      </c>
      <c r="E127">
        <v>62.1</v>
      </c>
      <c r="F127">
        <v>1</v>
      </c>
      <c r="G127">
        <v>405000</v>
      </c>
    </row>
    <row r="128" spans="1:7">
      <c r="A128">
        <v>64</v>
      </c>
      <c r="B128">
        <v>1152</v>
      </c>
      <c r="C128">
        <v>18</v>
      </c>
      <c r="D128">
        <v>30000</v>
      </c>
      <c r="E128">
        <v>62.1</v>
      </c>
      <c r="F128">
        <v>0</v>
      </c>
      <c r="G128">
        <v>540000</v>
      </c>
    </row>
    <row r="129" spans="1:7">
      <c r="A129">
        <v>51</v>
      </c>
      <c r="B129">
        <v>612</v>
      </c>
      <c r="C129">
        <v>12</v>
      </c>
      <c r="D129">
        <v>20000</v>
      </c>
      <c r="E129">
        <v>62.1</v>
      </c>
      <c r="F129">
        <v>0</v>
      </c>
      <c r="G129">
        <v>240000</v>
      </c>
    </row>
    <row r="130" spans="1:7">
      <c r="A130">
        <v>27</v>
      </c>
      <c r="B130">
        <v>364.5</v>
      </c>
      <c r="C130">
        <v>13.5</v>
      </c>
      <c r="D130">
        <v>20000</v>
      </c>
      <c r="E130">
        <v>62.1</v>
      </c>
      <c r="F130">
        <v>1</v>
      </c>
      <c r="G130">
        <v>270000</v>
      </c>
    </row>
    <row r="131" spans="1:7">
      <c r="A131">
        <v>25</v>
      </c>
      <c r="B131">
        <v>300</v>
      </c>
      <c r="C131">
        <v>12</v>
      </c>
      <c r="D131">
        <v>6500</v>
      </c>
      <c r="E131">
        <v>62.1</v>
      </c>
      <c r="F131">
        <v>1</v>
      </c>
      <c r="G131">
        <v>78000</v>
      </c>
    </row>
    <row r="132" spans="1:7">
      <c r="A132">
        <v>31</v>
      </c>
      <c r="B132">
        <v>418.5</v>
      </c>
      <c r="C132">
        <v>13.5</v>
      </c>
      <c r="D132">
        <v>20000</v>
      </c>
      <c r="E132">
        <v>62.1</v>
      </c>
      <c r="F132">
        <v>0</v>
      </c>
      <c r="G132">
        <v>270000</v>
      </c>
    </row>
    <row r="133" spans="1:7">
      <c r="A133">
        <v>37</v>
      </c>
      <c r="B133">
        <v>666</v>
      </c>
      <c r="C133">
        <v>18</v>
      </c>
      <c r="D133">
        <v>30000</v>
      </c>
      <c r="E133">
        <v>62.1</v>
      </c>
      <c r="F133">
        <v>0</v>
      </c>
      <c r="G133">
        <v>540000</v>
      </c>
    </row>
    <row r="134" spans="1:7">
      <c r="A134">
        <v>57</v>
      </c>
      <c r="B134">
        <v>684</v>
      </c>
      <c r="C134">
        <v>12</v>
      </c>
      <c r="D134">
        <v>12500</v>
      </c>
      <c r="E134">
        <v>62.1</v>
      </c>
      <c r="F134">
        <v>0</v>
      </c>
      <c r="G134">
        <v>150000</v>
      </c>
    </row>
    <row r="135" spans="1:7">
      <c r="A135">
        <v>41</v>
      </c>
      <c r="B135">
        <v>492</v>
      </c>
      <c r="C135">
        <v>12</v>
      </c>
      <c r="D135">
        <v>20000</v>
      </c>
      <c r="E135">
        <v>62.1</v>
      </c>
      <c r="F135">
        <v>1</v>
      </c>
      <c r="G135">
        <v>240000</v>
      </c>
    </row>
    <row r="136" spans="1:7">
      <c r="A136">
        <v>32</v>
      </c>
      <c r="B136">
        <v>384</v>
      </c>
      <c r="C136">
        <v>12</v>
      </c>
      <c r="D136">
        <v>30000</v>
      </c>
      <c r="E136">
        <v>62.1</v>
      </c>
      <c r="F136">
        <v>1</v>
      </c>
      <c r="G136">
        <v>360000</v>
      </c>
    </row>
    <row r="137" spans="1:7">
      <c r="A137">
        <v>36</v>
      </c>
      <c r="B137">
        <v>576</v>
      </c>
      <c r="C137">
        <v>16</v>
      </c>
      <c r="D137">
        <v>30000</v>
      </c>
      <c r="E137">
        <v>62.1</v>
      </c>
      <c r="F137">
        <v>0</v>
      </c>
      <c r="G137">
        <v>480000</v>
      </c>
    </row>
    <row r="138" spans="1:7">
      <c r="A138">
        <v>60</v>
      </c>
      <c r="B138">
        <v>810</v>
      </c>
      <c r="C138">
        <v>13.5</v>
      </c>
      <c r="D138">
        <v>30000</v>
      </c>
      <c r="E138">
        <v>62.1</v>
      </c>
      <c r="F138">
        <v>0</v>
      </c>
      <c r="G138">
        <v>405000</v>
      </c>
    </row>
    <row r="139" spans="1:7">
      <c r="A139">
        <v>26</v>
      </c>
      <c r="B139">
        <v>260</v>
      </c>
      <c r="C139">
        <v>10</v>
      </c>
      <c r="D139">
        <v>6500</v>
      </c>
      <c r="E139">
        <v>62.1</v>
      </c>
      <c r="F139">
        <v>1</v>
      </c>
      <c r="G139">
        <v>65000</v>
      </c>
    </row>
    <row r="140" spans="1:7">
      <c r="A140">
        <v>35</v>
      </c>
      <c r="B140">
        <v>210</v>
      </c>
      <c r="C140">
        <v>6</v>
      </c>
      <c r="D140">
        <v>12500</v>
      </c>
      <c r="E140">
        <v>62.1</v>
      </c>
      <c r="F140">
        <v>1</v>
      </c>
      <c r="G140">
        <v>75000</v>
      </c>
    </row>
    <row r="141" spans="1:7">
      <c r="A141">
        <v>30</v>
      </c>
      <c r="B141">
        <v>75</v>
      </c>
      <c r="C141">
        <v>2.5</v>
      </c>
      <c r="D141">
        <v>12500</v>
      </c>
      <c r="E141">
        <v>62.1</v>
      </c>
      <c r="F141">
        <v>0</v>
      </c>
      <c r="G141">
        <v>31250</v>
      </c>
    </row>
    <row r="142" spans="1:7">
      <c r="A142">
        <v>48</v>
      </c>
      <c r="B142">
        <v>648</v>
      </c>
      <c r="C142">
        <v>13.5</v>
      </c>
      <c r="D142">
        <v>20000</v>
      </c>
      <c r="E142">
        <v>62.1</v>
      </c>
      <c r="F142">
        <v>1</v>
      </c>
      <c r="G142">
        <v>270000</v>
      </c>
    </row>
    <row r="143" spans="1:7">
      <c r="A143">
        <v>44</v>
      </c>
      <c r="B143">
        <v>352</v>
      </c>
      <c r="C143">
        <v>8</v>
      </c>
      <c r="D143">
        <v>20000</v>
      </c>
      <c r="E143">
        <v>62.1</v>
      </c>
      <c r="F143">
        <v>0</v>
      </c>
      <c r="G143">
        <v>160000</v>
      </c>
    </row>
    <row r="144" spans="1:7">
      <c r="A144">
        <v>71</v>
      </c>
      <c r="B144">
        <v>568</v>
      </c>
      <c r="C144">
        <v>8</v>
      </c>
      <c r="D144">
        <v>12500</v>
      </c>
      <c r="E144">
        <v>62.1</v>
      </c>
      <c r="F144">
        <v>0</v>
      </c>
      <c r="G144">
        <v>100000</v>
      </c>
    </row>
    <row r="145" spans="1:7">
      <c r="A145">
        <v>74</v>
      </c>
      <c r="B145">
        <v>444</v>
      </c>
      <c r="C145">
        <v>6</v>
      </c>
      <c r="D145">
        <v>4500</v>
      </c>
      <c r="E145">
        <v>62.1</v>
      </c>
      <c r="F145">
        <v>0</v>
      </c>
      <c r="G145">
        <v>27000</v>
      </c>
    </row>
    <row r="146" spans="1:7">
      <c r="A146">
        <v>45</v>
      </c>
      <c r="B146">
        <v>810</v>
      </c>
      <c r="C146">
        <v>18</v>
      </c>
      <c r="D146">
        <v>30000</v>
      </c>
      <c r="E146">
        <v>62.1</v>
      </c>
      <c r="F146">
        <v>0</v>
      </c>
      <c r="G146">
        <v>540000</v>
      </c>
    </row>
    <row r="147" spans="1:7">
      <c r="A147">
        <v>26</v>
      </c>
      <c r="B147">
        <v>312</v>
      </c>
      <c r="C147">
        <v>12</v>
      </c>
      <c r="D147">
        <v>30000</v>
      </c>
      <c r="E147">
        <v>62.1</v>
      </c>
      <c r="F147">
        <v>0</v>
      </c>
      <c r="G147">
        <v>360000</v>
      </c>
    </row>
    <row r="148" spans="1:7">
      <c r="A148">
        <v>17</v>
      </c>
      <c r="B148">
        <v>170</v>
      </c>
      <c r="C148">
        <v>10</v>
      </c>
      <c r="D148">
        <v>30000</v>
      </c>
      <c r="E148">
        <v>62.1</v>
      </c>
      <c r="F148">
        <v>0</v>
      </c>
      <c r="G148">
        <v>300000</v>
      </c>
    </row>
    <row r="149" spans="1:7">
      <c r="A149">
        <v>47</v>
      </c>
      <c r="B149">
        <v>752</v>
      </c>
      <c r="C149">
        <v>16</v>
      </c>
      <c r="D149">
        <v>30000</v>
      </c>
      <c r="E149">
        <v>62.1</v>
      </c>
      <c r="F149">
        <v>0</v>
      </c>
      <c r="G149">
        <v>480000</v>
      </c>
    </row>
    <row r="150" spans="1:7">
      <c r="A150">
        <v>26</v>
      </c>
      <c r="B150">
        <v>260</v>
      </c>
      <c r="C150">
        <v>10</v>
      </c>
      <c r="D150">
        <v>30000</v>
      </c>
      <c r="E150">
        <v>62.1</v>
      </c>
      <c r="F150">
        <v>1</v>
      </c>
      <c r="G150">
        <v>300000</v>
      </c>
    </row>
    <row r="151" spans="1:7">
      <c r="A151">
        <v>68</v>
      </c>
      <c r="B151">
        <v>918</v>
      </c>
      <c r="C151">
        <v>13.5</v>
      </c>
      <c r="D151">
        <v>12500</v>
      </c>
      <c r="E151">
        <v>62.1</v>
      </c>
      <c r="F151">
        <v>0</v>
      </c>
      <c r="G151">
        <v>168750</v>
      </c>
    </row>
    <row r="152" spans="1:7">
      <c r="A152">
        <v>57</v>
      </c>
      <c r="B152">
        <v>0</v>
      </c>
      <c r="C152">
        <v>0</v>
      </c>
      <c r="D152">
        <v>20000</v>
      </c>
      <c r="E152">
        <v>62.1</v>
      </c>
      <c r="F152">
        <v>1</v>
      </c>
      <c r="G152">
        <v>0</v>
      </c>
    </row>
    <row r="153" spans="1:7">
      <c r="A153">
        <v>28</v>
      </c>
      <c r="B153">
        <v>0</v>
      </c>
      <c r="C153">
        <v>0</v>
      </c>
      <c r="D153">
        <v>5500</v>
      </c>
      <c r="E153">
        <v>62.1</v>
      </c>
      <c r="F153">
        <v>1</v>
      </c>
      <c r="G153">
        <v>0</v>
      </c>
    </row>
    <row r="154" spans="1:7">
      <c r="A154">
        <v>45</v>
      </c>
      <c r="B154">
        <v>607.5</v>
      </c>
      <c r="C154">
        <v>13.5</v>
      </c>
      <c r="D154">
        <v>30000</v>
      </c>
      <c r="E154">
        <v>62.1</v>
      </c>
      <c r="F154">
        <v>0</v>
      </c>
      <c r="G154">
        <v>405000</v>
      </c>
    </row>
    <row r="155" spans="1:7">
      <c r="A155">
        <v>76</v>
      </c>
      <c r="B155">
        <v>912</v>
      </c>
      <c r="C155">
        <v>12</v>
      </c>
      <c r="D155">
        <v>6500</v>
      </c>
      <c r="E155">
        <v>62.1</v>
      </c>
      <c r="F155">
        <v>1</v>
      </c>
      <c r="G155">
        <v>78000</v>
      </c>
    </row>
    <row r="156" spans="1:7">
      <c r="A156">
        <v>24</v>
      </c>
      <c r="B156">
        <v>324</v>
      </c>
      <c r="C156">
        <v>13.5</v>
      </c>
      <c r="D156">
        <v>6500</v>
      </c>
      <c r="E156">
        <v>62.1</v>
      </c>
      <c r="F156">
        <v>0</v>
      </c>
      <c r="G156">
        <v>87750</v>
      </c>
    </row>
    <row r="157" spans="1:7">
      <c r="A157">
        <v>61</v>
      </c>
      <c r="B157">
        <v>823.5</v>
      </c>
      <c r="C157">
        <v>13.5</v>
      </c>
      <c r="D157">
        <v>1500</v>
      </c>
      <c r="E157">
        <v>62.1</v>
      </c>
      <c r="F157">
        <v>0</v>
      </c>
      <c r="G157">
        <v>20250</v>
      </c>
    </row>
    <row r="158" spans="1:7">
      <c r="A158">
        <v>45</v>
      </c>
      <c r="B158">
        <v>810</v>
      </c>
      <c r="C158">
        <v>18</v>
      </c>
      <c r="D158">
        <v>30000</v>
      </c>
      <c r="E158">
        <v>62.1</v>
      </c>
      <c r="F158">
        <v>0</v>
      </c>
      <c r="G158">
        <v>540000</v>
      </c>
    </row>
    <row r="159" spans="1:7">
      <c r="A159">
        <v>73</v>
      </c>
      <c r="B159">
        <v>876</v>
      </c>
      <c r="C159">
        <v>12</v>
      </c>
      <c r="D159">
        <v>12500</v>
      </c>
      <c r="E159">
        <v>62.1</v>
      </c>
      <c r="F159">
        <v>0</v>
      </c>
      <c r="G159">
        <v>150000</v>
      </c>
    </row>
    <row r="160" spans="1:7">
      <c r="A160">
        <v>64</v>
      </c>
      <c r="B160">
        <v>640</v>
      </c>
      <c r="C160">
        <v>10</v>
      </c>
      <c r="D160">
        <v>2500</v>
      </c>
      <c r="E160">
        <v>62.1</v>
      </c>
      <c r="F160">
        <v>0</v>
      </c>
      <c r="G160">
        <v>25000</v>
      </c>
    </row>
    <row r="161" spans="1:7">
      <c r="A161">
        <v>70</v>
      </c>
      <c r="B161">
        <v>175</v>
      </c>
      <c r="C161">
        <v>2.5</v>
      </c>
      <c r="D161">
        <v>6500</v>
      </c>
      <c r="E161">
        <v>62.1</v>
      </c>
      <c r="F161">
        <v>0</v>
      </c>
      <c r="G161">
        <v>16250</v>
      </c>
    </row>
    <row r="162" spans="1:7">
      <c r="A162">
        <v>36</v>
      </c>
      <c r="B162">
        <v>486</v>
      </c>
      <c r="C162">
        <v>13.5</v>
      </c>
      <c r="D162">
        <v>8500</v>
      </c>
      <c r="E162">
        <v>62.1</v>
      </c>
      <c r="F162">
        <v>1</v>
      </c>
      <c r="G162">
        <v>114750</v>
      </c>
    </row>
    <row r="163" spans="1:7">
      <c r="A163">
        <v>61</v>
      </c>
      <c r="B163">
        <v>915</v>
      </c>
      <c r="C163">
        <v>15</v>
      </c>
      <c r="D163">
        <v>12500</v>
      </c>
      <c r="E163">
        <v>62.1</v>
      </c>
      <c r="F163">
        <v>0</v>
      </c>
      <c r="G163">
        <v>187500</v>
      </c>
    </row>
    <row r="164" spans="1:7">
      <c r="A164">
        <v>37</v>
      </c>
      <c r="B164">
        <v>499.5</v>
      </c>
      <c r="C164">
        <v>13.5</v>
      </c>
      <c r="D164">
        <v>30000</v>
      </c>
      <c r="E164">
        <v>62.1</v>
      </c>
      <c r="F164">
        <v>0</v>
      </c>
      <c r="G164">
        <v>405000</v>
      </c>
    </row>
    <row r="165" spans="1:7">
      <c r="A165">
        <v>63</v>
      </c>
      <c r="B165">
        <v>756</v>
      </c>
      <c r="C165">
        <v>12</v>
      </c>
      <c r="D165">
        <v>20000</v>
      </c>
      <c r="E165">
        <v>62.1</v>
      </c>
      <c r="F165">
        <v>0</v>
      </c>
      <c r="G165">
        <v>240000</v>
      </c>
    </row>
    <row r="166" spans="1:7">
      <c r="A166">
        <v>23</v>
      </c>
      <c r="B166">
        <v>230</v>
      </c>
      <c r="C166">
        <v>10</v>
      </c>
      <c r="D166">
        <v>20000</v>
      </c>
      <c r="E166">
        <v>62.1</v>
      </c>
      <c r="F166">
        <v>0</v>
      </c>
      <c r="G166">
        <v>200000</v>
      </c>
    </row>
    <row r="167" spans="1:7">
      <c r="A167">
        <v>44</v>
      </c>
      <c r="B167">
        <v>660</v>
      </c>
      <c r="C167">
        <v>15</v>
      </c>
      <c r="D167">
        <v>20000</v>
      </c>
      <c r="E167">
        <v>62.1</v>
      </c>
      <c r="F167">
        <v>1</v>
      </c>
      <c r="G167">
        <v>300000</v>
      </c>
    </row>
    <row r="168" spans="1:7">
      <c r="A168">
        <v>27</v>
      </c>
      <c r="B168">
        <v>405</v>
      </c>
      <c r="C168">
        <v>15</v>
      </c>
      <c r="D168">
        <v>12500</v>
      </c>
      <c r="E168">
        <v>62.1</v>
      </c>
      <c r="F168">
        <v>0</v>
      </c>
      <c r="G168">
        <v>187500</v>
      </c>
    </row>
    <row r="169" spans="1:7">
      <c r="A169">
        <v>64</v>
      </c>
      <c r="B169">
        <v>960</v>
      </c>
      <c r="C169">
        <v>15</v>
      </c>
      <c r="D169">
        <v>30000</v>
      </c>
      <c r="E169">
        <v>62.1</v>
      </c>
      <c r="F169">
        <v>0</v>
      </c>
      <c r="G169">
        <v>450000</v>
      </c>
    </row>
    <row r="170" spans="1:7">
      <c r="A170">
        <v>64</v>
      </c>
      <c r="B170">
        <v>960</v>
      </c>
      <c r="C170">
        <v>15</v>
      </c>
      <c r="D170">
        <v>20000</v>
      </c>
      <c r="E170">
        <v>62.1</v>
      </c>
      <c r="F170">
        <v>0</v>
      </c>
      <c r="G170">
        <v>300000</v>
      </c>
    </row>
    <row r="171" spans="1:7">
      <c r="A171">
        <v>53</v>
      </c>
      <c r="B171">
        <v>424</v>
      </c>
      <c r="C171">
        <v>8</v>
      </c>
      <c r="D171">
        <v>12500</v>
      </c>
      <c r="E171">
        <v>62.1</v>
      </c>
      <c r="F171">
        <v>1</v>
      </c>
      <c r="G171">
        <v>100000</v>
      </c>
    </row>
    <row r="172" spans="1:7">
      <c r="A172">
        <v>38</v>
      </c>
      <c r="B172">
        <v>608</v>
      </c>
      <c r="C172">
        <v>16</v>
      </c>
      <c r="D172">
        <v>30000</v>
      </c>
      <c r="E172">
        <v>62.1</v>
      </c>
      <c r="F172">
        <v>0</v>
      </c>
      <c r="G172">
        <v>480000</v>
      </c>
    </row>
    <row r="173" spans="1:7">
      <c r="A173">
        <v>21</v>
      </c>
      <c r="B173">
        <v>252</v>
      </c>
      <c r="C173">
        <v>12</v>
      </c>
      <c r="D173">
        <v>30000</v>
      </c>
      <c r="E173">
        <v>62.1</v>
      </c>
      <c r="F173">
        <v>1</v>
      </c>
      <c r="G173">
        <v>360000</v>
      </c>
    </row>
    <row r="174" spans="1:7">
      <c r="A174">
        <v>21</v>
      </c>
      <c r="B174">
        <v>252</v>
      </c>
      <c r="C174">
        <v>12</v>
      </c>
      <c r="D174">
        <v>12500</v>
      </c>
      <c r="E174">
        <v>62.1</v>
      </c>
      <c r="F174">
        <v>0</v>
      </c>
      <c r="G174">
        <v>150000</v>
      </c>
    </row>
    <row r="175" spans="1:7">
      <c r="A175">
        <v>77</v>
      </c>
      <c r="B175">
        <v>924</v>
      </c>
      <c r="C175">
        <v>12</v>
      </c>
      <c r="D175">
        <v>1500</v>
      </c>
      <c r="E175">
        <v>62.1</v>
      </c>
      <c r="F175">
        <v>1</v>
      </c>
      <c r="G175">
        <v>18000</v>
      </c>
    </row>
    <row r="176" spans="1:7">
      <c r="A176">
        <v>43</v>
      </c>
      <c r="B176">
        <v>516</v>
      </c>
      <c r="C176">
        <v>12</v>
      </c>
      <c r="D176">
        <v>30000</v>
      </c>
      <c r="E176">
        <v>62.1</v>
      </c>
      <c r="F176">
        <v>0</v>
      </c>
      <c r="G176">
        <v>360000</v>
      </c>
    </row>
    <row r="177" spans="1:7">
      <c r="A177">
        <v>69</v>
      </c>
      <c r="B177">
        <v>828</v>
      </c>
      <c r="C177">
        <v>12</v>
      </c>
      <c r="D177">
        <v>8500</v>
      </c>
      <c r="E177">
        <v>62.1</v>
      </c>
      <c r="F177">
        <v>0</v>
      </c>
      <c r="G177">
        <v>102000</v>
      </c>
    </row>
    <row r="178" spans="1:7">
      <c r="A178">
        <v>31</v>
      </c>
      <c r="B178">
        <v>558</v>
      </c>
      <c r="C178">
        <v>18</v>
      </c>
      <c r="D178">
        <v>20000</v>
      </c>
      <c r="E178">
        <v>62.1</v>
      </c>
      <c r="F178">
        <v>0</v>
      </c>
      <c r="G178">
        <v>360000</v>
      </c>
    </row>
    <row r="179" spans="1:7">
      <c r="A179">
        <v>23</v>
      </c>
      <c r="B179">
        <v>276</v>
      </c>
      <c r="C179">
        <v>12</v>
      </c>
      <c r="D179">
        <v>12500</v>
      </c>
      <c r="E179">
        <v>62.1</v>
      </c>
      <c r="F179">
        <v>1</v>
      </c>
      <c r="G179">
        <v>150000</v>
      </c>
    </row>
    <row r="180" spans="1:7">
      <c r="A180">
        <v>66</v>
      </c>
      <c r="B180">
        <v>660</v>
      </c>
      <c r="C180">
        <v>10</v>
      </c>
      <c r="D180">
        <v>20000</v>
      </c>
      <c r="E180">
        <v>62.1</v>
      </c>
      <c r="F180">
        <v>1</v>
      </c>
      <c r="G180">
        <v>200000</v>
      </c>
    </row>
    <row r="181" spans="1:7">
      <c r="A181">
        <v>41</v>
      </c>
      <c r="B181">
        <v>553.5</v>
      </c>
      <c r="C181">
        <v>13.5</v>
      </c>
      <c r="D181">
        <v>30000</v>
      </c>
      <c r="E181">
        <v>62.1</v>
      </c>
      <c r="F181">
        <v>0</v>
      </c>
      <c r="G181">
        <v>405000</v>
      </c>
    </row>
    <row r="182" spans="1:7">
      <c r="A182">
        <v>47</v>
      </c>
      <c r="B182">
        <v>470</v>
      </c>
      <c r="C182">
        <v>10</v>
      </c>
      <c r="D182">
        <v>12500</v>
      </c>
      <c r="E182">
        <v>62.1</v>
      </c>
      <c r="F182">
        <v>1</v>
      </c>
      <c r="G182">
        <v>125000</v>
      </c>
    </row>
    <row r="183" spans="1:7">
      <c r="A183">
        <v>31</v>
      </c>
      <c r="B183">
        <v>372</v>
      </c>
      <c r="C183">
        <v>12</v>
      </c>
      <c r="D183">
        <v>8500</v>
      </c>
      <c r="E183">
        <v>62.1</v>
      </c>
      <c r="F183">
        <v>0</v>
      </c>
      <c r="G183">
        <v>102000</v>
      </c>
    </row>
    <row r="184" spans="1:7">
      <c r="A184">
        <v>27</v>
      </c>
      <c r="B184">
        <v>486</v>
      </c>
      <c r="C184">
        <v>18</v>
      </c>
      <c r="D184">
        <v>30000</v>
      </c>
      <c r="E184">
        <v>62.1</v>
      </c>
      <c r="F184">
        <v>0</v>
      </c>
      <c r="G184">
        <v>540000</v>
      </c>
    </row>
    <row r="185" spans="1:7">
      <c r="A185">
        <v>27</v>
      </c>
      <c r="B185">
        <v>432</v>
      </c>
      <c r="C185">
        <v>16</v>
      </c>
      <c r="D185">
        <v>30000</v>
      </c>
      <c r="E185">
        <v>62.1</v>
      </c>
      <c r="F185">
        <v>0</v>
      </c>
      <c r="G185">
        <v>480000</v>
      </c>
    </row>
    <row r="186" spans="1:7">
      <c r="A186">
        <v>35</v>
      </c>
      <c r="B186">
        <v>560</v>
      </c>
      <c r="C186">
        <v>16</v>
      </c>
      <c r="D186">
        <v>30000</v>
      </c>
      <c r="E186">
        <v>62.1</v>
      </c>
      <c r="F186">
        <v>1</v>
      </c>
      <c r="G186">
        <v>480000</v>
      </c>
    </row>
    <row r="187" spans="1:7">
      <c r="A187">
        <v>55</v>
      </c>
      <c r="B187">
        <v>550</v>
      </c>
      <c r="C187">
        <v>10</v>
      </c>
      <c r="D187">
        <v>30000</v>
      </c>
      <c r="E187">
        <v>62.1</v>
      </c>
      <c r="F187">
        <v>0</v>
      </c>
      <c r="G187">
        <v>300000</v>
      </c>
    </row>
    <row r="188" spans="1:7">
      <c r="A188">
        <v>50</v>
      </c>
      <c r="B188">
        <v>675</v>
      </c>
      <c r="C188">
        <v>13.5</v>
      </c>
      <c r="D188">
        <v>30000</v>
      </c>
      <c r="E188">
        <v>62.1</v>
      </c>
      <c r="F188">
        <v>0</v>
      </c>
      <c r="G188">
        <v>405000</v>
      </c>
    </row>
    <row r="189" spans="1:7">
      <c r="A189">
        <v>21</v>
      </c>
      <c r="B189">
        <v>252</v>
      </c>
      <c r="C189">
        <v>12</v>
      </c>
      <c r="D189">
        <v>30000</v>
      </c>
      <c r="E189">
        <v>62.1</v>
      </c>
      <c r="F189">
        <v>0</v>
      </c>
      <c r="G189">
        <v>360000</v>
      </c>
    </row>
    <row r="190" spans="1:7">
      <c r="A190">
        <v>33</v>
      </c>
      <c r="B190">
        <v>330</v>
      </c>
      <c r="C190">
        <v>10</v>
      </c>
      <c r="D190">
        <v>30000</v>
      </c>
      <c r="E190">
        <v>62.1</v>
      </c>
      <c r="F190">
        <v>1</v>
      </c>
      <c r="G190">
        <v>300000</v>
      </c>
    </row>
    <row r="191" spans="1:7">
      <c r="A191">
        <v>41</v>
      </c>
      <c r="B191">
        <v>492</v>
      </c>
      <c r="C191">
        <v>12</v>
      </c>
      <c r="D191">
        <v>30000</v>
      </c>
      <c r="E191">
        <v>62.1</v>
      </c>
      <c r="F191">
        <v>1</v>
      </c>
      <c r="G191">
        <v>360000</v>
      </c>
    </row>
    <row r="192" spans="1:7">
      <c r="A192">
        <v>52</v>
      </c>
      <c r="B192">
        <v>624</v>
      </c>
      <c r="C192">
        <v>12</v>
      </c>
      <c r="D192">
        <v>30000</v>
      </c>
      <c r="E192">
        <v>62.1</v>
      </c>
      <c r="F192">
        <v>0</v>
      </c>
      <c r="G192">
        <v>360000</v>
      </c>
    </row>
    <row r="193" spans="1:7">
      <c r="A193">
        <v>25</v>
      </c>
      <c r="B193">
        <v>375</v>
      </c>
      <c r="C193">
        <v>15</v>
      </c>
      <c r="D193">
        <v>20000</v>
      </c>
      <c r="E193">
        <v>62.1</v>
      </c>
      <c r="F193">
        <v>0</v>
      </c>
      <c r="G193">
        <v>300000</v>
      </c>
    </row>
    <row r="194" spans="1:7">
      <c r="A194">
        <v>64</v>
      </c>
      <c r="B194">
        <v>384</v>
      </c>
      <c r="C194">
        <v>6</v>
      </c>
      <c r="D194">
        <v>8500</v>
      </c>
      <c r="E194">
        <v>62.1</v>
      </c>
      <c r="F194">
        <v>0</v>
      </c>
      <c r="G194">
        <v>51000</v>
      </c>
    </row>
    <row r="195" spans="1:7">
      <c r="A195">
        <v>52</v>
      </c>
      <c r="B195">
        <v>702</v>
      </c>
      <c r="C195">
        <v>13.5</v>
      </c>
      <c r="D195">
        <v>30000</v>
      </c>
      <c r="E195">
        <v>62.1</v>
      </c>
      <c r="F195">
        <v>0</v>
      </c>
      <c r="G195">
        <v>405000</v>
      </c>
    </row>
    <row r="196" spans="1:7">
      <c r="A196">
        <v>23</v>
      </c>
      <c r="B196">
        <v>310.5</v>
      </c>
      <c r="C196">
        <v>13.5</v>
      </c>
      <c r="D196">
        <v>30000</v>
      </c>
      <c r="E196">
        <v>62.1</v>
      </c>
      <c r="F196">
        <v>0</v>
      </c>
      <c r="G196">
        <v>405000</v>
      </c>
    </row>
    <row r="197" spans="1:7">
      <c r="A197">
        <v>35</v>
      </c>
      <c r="B197">
        <v>420</v>
      </c>
      <c r="C197">
        <v>12</v>
      </c>
      <c r="D197">
        <v>30000</v>
      </c>
      <c r="E197">
        <v>62.1</v>
      </c>
      <c r="F197">
        <v>1</v>
      </c>
      <c r="G197">
        <v>360000</v>
      </c>
    </row>
    <row r="198" spans="1:7">
      <c r="A198">
        <v>77</v>
      </c>
      <c r="B198">
        <v>1386</v>
      </c>
      <c r="C198">
        <v>18</v>
      </c>
      <c r="D198">
        <v>12500</v>
      </c>
      <c r="E198">
        <v>62.1</v>
      </c>
      <c r="F198">
        <v>0</v>
      </c>
      <c r="G198">
        <v>225000</v>
      </c>
    </row>
    <row r="199" spans="1:7">
      <c r="A199">
        <v>44</v>
      </c>
      <c r="B199">
        <v>660</v>
      </c>
      <c r="C199">
        <v>15</v>
      </c>
      <c r="D199">
        <v>30000</v>
      </c>
      <c r="E199">
        <v>62.1</v>
      </c>
      <c r="F199">
        <v>1</v>
      </c>
      <c r="G199">
        <v>450000</v>
      </c>
    </row>
    <row r="200" spans="1:7">
      <c r="A200">
        <v>40</v>
      </c>
      <c r="B200">
        <v>640</v>
      </c>
      <c r="C200">
        <v>16</v>
      </c>
      <c r="D200">
        <v>30000</v>
      </c>
      <c r="E200">
        <v>62.1</v>
      </c>
      <c r="F200">
        <v>0</v>
      </c>
      <c r="G200">
        <v>480000</v>
      </c>
    </row>
    <row r="201" spans="1:7">
      <c r="A201">
        <v>21</v>
      </c>
      <c r="B201">
        <v>210</v>
      </c>
      <c r="C201">
        <v>10</v>
      </c>
      <c r="D201">
        <v>30000</v>
      </c>
      <c r="E201">
        <v>62.1</v>
      </c>
      <c r="F201">
        <v>1</v>
      </c>
      <c r="G201">
        <v>300000</v>
      </c>
    </row>
    <row r="202" spans="1:7">
      <c r="A202">
        <v>27</v>
      </c>
      <c r="B202">
        <v>405</v>
      </c>
      <c r="C202">
        <v>15</v>
      </c>
      <c r="D202">
        <v>30000</v>
      </c>
      <c r="E202">
        <v>62.1</v>
      </c>
      <c r="F202">
        <v>0</v>
      </c>
      <c r="G202">
        <v>450000</v>
      </c>
    </row>
    <row r="203" spans="1:7">
      <c r="A203">
        <v>49</v>
      </c>
      <c r="B203">
        <v>661.5</v>
      </c>
      <c r="C203">
        <v>13.5</v>
      </c>
      <c r="D203">
        <v>30000</v>
      </c>
      <c r="E203">
        <v>62.1</v>
      </c>
      <c r="F203">
        <v>1</v>
      </c>
      <c r="G203">
        <v>405000</v>
      </c>
    </row>
    <row r="204" spans="1:7">
      <c r="A204">
        <v>62</v>
      </c>
      <c r="B204">
        <v>620</v>
      </c>
      <c r="C204">
        <v>10</v>
      </c>
      <c r="D204">
        <v>12500</v>
      </c>
      <c r="E204">
        <v>62.1</v>
      </c>
      <c r="F204">
        <v>1</v>
      </c>
      <c r="G204">
        <v>125000</v>
      </c>
    </row>
    <row r="205" spans="1:7">
      <c r="A205">
        <v>22</v>
      </c>
      <c r="B205">
        <v>330</v>
      </c>
      <c r="C205">
        <v>15</v>
      </c>
      <c r="D205">
        <v>8500</v>
      </c>
      <c r="E205">
        <v>62.1</v>
      </c>
      <c r="F205">
        <v>1</v>
      </c>
      <c r="G205">
        <v>127500</v>
      </c>
    </row>
    <row r="206" spans="1:7">
      <c r="A206">
        <v>22</v>
      </c>
      <c r="B206">
        <v>330</v>
      </c>
      <c r="C206">
        <v>15</v>
      </c>
      <c r="D206">
        <v>20000</v>
      </c>
      <c r="E206">
        <v>62.1</v>
      </c>
      <c r="F206">
        <v>0</v>
      </c>
      <c r="G206">
        <v>300000</v>
      </c>
    </row>
    <row r="207" spans="1:7">
      <c r="A207">
        <v>29</v>
      </c>
      <c r="B207">
        <v>464</v>
      </c>
      <c r="C207">
        <v>16</v>
      </c>
      <c r="D207">
        <v>30000</v>
      </c>
      <c r="E207">
        <v>62.1</v>
      </c>
      <c r="F207">
        <v>0</v>
      </c>
      <c r="G207">
        <v>480000</v>
      </c>
    </row>
    <row r="208" spans="1:7">
      <c r="A208">
        <v>29</v>
      </c>
      <c r="B208">
        <v>391.5</v>
      </c>
      <c r="C208">
        <v>13.5</v>
      </c>
      <c r="D208">
        <v>20000</v>
      </c>
      <c r="E208">
        <v>62.1</v>
      </c>
      <c r="F208">
        <v>1</v>
      </c>
      <c r="G208">
        <v>270000</v>
      </c>
    </row>
    <row r="209" spans="1:7">
      <c r="A209">
        <v>49</v>
      </c>
      <c r="B209">
        <v>392</v>
      </c>
      <c r="C209">
        <v>8</v>
      </c>
      <c r="D209">
        <v>20000</v>
      </c>
      <c r="E209">
        <v>62.1</v>
      </c>
      <c r="F209">
        <v>1</v>
      </c>
      <c r="G209">
        <v>160000</v>
      </c>
    </row>
    <row r="210" spans="1:7">
      <c r="A210">
        <v>26</v>
      </c>
      <c r="B210">
        <v>416</v>
      </c>
      <c r="C210">
        <v>16</v>
      </c>
      <c r="D210">
        <v>6500</v>
      </c>
      <c r="E210">
        <v>62.1</v>
      </c>
      <c r="F210">
        <v>0</v>
      </c>
      <c r="G210">
        <v>104000</v>
      </c>
    </row>
    <row r="211" spans="1:7">
      <c r="A211">
        <v>27</v>
      </c>
      <c r="B211">
        <v>364.5</v>
      </c>
      <c r="C211">
        <v>13.5</v>
      </c>
      <c r="D211">
        <v>4500</v>
      </c>
      <c r="E211">
        <v>62.1</v>
      </c>
      <c r="F211">
        <v>0</v>
      </c>
      <c r="G211">
        <v>60750</v>
      </c>
    </row>
    <row r="212" spans="1:7">
      <c r="A212">
        <v>60</v>
      </c>
      <c r="B212">
        <v>1080</v>
      </c>
      <c r="C212">
        <v>18</v>
      </c>
      <c r="D212">
        <v>30000</v>
      </c>
      <c r="E212">
        <v>62.1</v>
      </c>
      <c r="F212">
        <v>0</v>
      </c>
      <c r="G212">
        <v>540000</v>
      </c>
    </row>
    <row r="213" spans="1:7">
      <c r="A213">
        <v>65</v>
      </c>
      <c r="B213">
        <v>650</v>
      </c>
      <c r="C213">
        <v>10</v>
      </c>
      <c r="D213">
        <v>3500</v>
      </c>
      <c r="E213">
        <v>62.1</v>
      </c>
      <c r="F213">
        <v>0</v>
      </c>
      <c r="G213">
        <v>35000</v>
      </c>
    </row>
    <row r="214" spans="1:7">
      <c r="A214">
        <v>30</v>
      </c>
      <c r="B214">
        <v>360</v>
      </c>
      <c r="C214">
        <v>12</v>
      </c>
      <c r="D214">
        <v>20000</v>
      </c>
      <c r="E214">
        <v>62.1</v>
      </c>
      <c r="F214">
        <v>0</v>
      </c>
      <c r="G214">
        <v>240000</v>
      </c>
    </row>
    <row r="215" spans="1:7">
      <c r="A215">
        <v>72</v>
      </c>
      <c r="B215">
        <v>972</v>
      </c>
      <c r="C215">
        <v>13.5</v>
      </c>
      <c r="D215">
        <v>12500</v>
      </c>
      <c r="E215">
        <v>54.6</v>
      </c>
      <c r="F215">
        <v>0</v>
      </c>
      <c r="G215">
        <v>168750</v>
      </c>
    </row>
    <row r="216" spans="1:7">
      <c r="A216">
        <v>51</v>
      </c>
      <c r="B216">
        <v>816</v>
      </c>
      <c r="C216">
        <v>16</v>
      </c>
      <c r="D216">
        <v>30000</v>
      </c>
      <c r="E216">
        <v>54.6</v>
      </c>
      <c r="F216">
        <v>0</v>
      </c>
      <c r="G216">
        <v>480000</v>
      </c>
    </row>
    <row r="217" spans="1:7">
      <c r="A217">
        <v>28</v>
      </c>
      <c r="B217">
        <v>336</v>
      </c>
      <c r="C217">
        <v>12</v>
      </c>
      <c r="D217">
        <v>20000</v>
      </c>
      <c r="E217">
        <v>54.6</v>
      </c>
      <c r="F217">
        <v>1</v>
      </c>
      <c r="G217">
        <v>240000</v>
      </c>
    </row>
    <row r="218" spans="1:7">
      <c r="A218">
        <v>49</v>
      </c>
      <c r="B218">
        <v>784</v>
      </c>
      <c r="C218">
        <v>16</v>
      </c>
      <c r="D218">
        <v>30000</v>
      </c>
      <c r="E218">
        <v>54.6</v>
      </c>
      <c r="F218">
        <v>1</v>
      </c>
      <c r="G218">
        <v>480000</v>
      </c>
    </row>
    <row r="219" spans="1:7">
      <c r="A219">
        <v>30</v>
      </c>
      <c r="B219">
        <v>450</v>
      </c>
      <c r="C219">
        <v>15</v>
      </c>
      <c r="D219">
        <v>8500</v>
      </c>
      <c r="E219">
        <v>54.6</v>
      </c>
      <c r="F219">
        <v>0</v>
      </c>
      <c r="G219">
        <v>127500</v>
      </c>
    </row>
    <row r="220" spans="1:7">
      <c r="A220">
        <v>57</v>
      </c>
      <c r="B220">
        <v>684</v>
      </c>
      <c r="C220">
        <v>12</v>
      </c>
      <c r="D220">
        <v>20000</v>
      </c>
      <c r="E220">
        <v>54.6</v>
      </c>
      <c r="F220">
        <v>1</v>
      </c>
      <c r="G220">
        <v>240000</v>
      </c>
    </row>
    <row r="221" spans="1:7">
      <c r="A221">
        <v>20</v>
      </c>
      <c r="B221">
        <v>270</v>
      </c>
      <c r="C221">
        <v>13.5</v>
      </c>
      <c r="D221">
        <v>1500</v>
      </c>
      <c r="E221">
        <v>54.6</v>
      </c>
      <c r="F221">
        <v>0</v>
      </c>
      <c r="G221">
        <v>20250</v>
      </c>
    </row>
    <row r="222" spans="1:7">
      <c r="A222">
        <v>34</v>
      </c>
      <c r="B222">
        <v>459</v>
      </c>
      <c r="C222">
        <v>13.5</v>
      </c>
      <c r="D222">
        <v>12500</v>
      </c>
      <c r="E222">
        <v>54.6</v>
      </c>
      <c r="F222">
        <v>1</v>
      </c>
      <c r="G222">
        <v>168750</v>
      </c>
    </row>
    <row r="223" spans="1:7">
      <c r="A223">
        <v>57</v>
      </c>
      <c r="B223">
        <v>570</v>
      </c>
      <c r="C223">
        <v>10</v>
      </c>
      <c r="D223">
        <v>20000</v>
      </c>
      <c r="E223">
        <v>54.6</v>
      </c>
      <c r="F223">
        <v>0</v>
      </c>
      <c r="G223">
        <v>200000</v>
      </c>
    </row>
    <row r="224" spans="1:7">
      <c r="A224">
        <v>46</v>
      </c>
      <c r="B224">
        <v>828</v>
      </c>
      <c r="C224">
        <v>18</v>
      </c>
      <c r="D224">
        <v>30000</v>
      </c>
      <c r="E224">
        <v>54.6</v>
      </c>
      <c r="F224">
        <v>0</v>
      </c>
      <c r="G224">
        <v>540000</v>
      </c>
    </row>
    <row r="225" spans="1:7">
      <c r="A225">
        <v>23</v>
      </c>
      <c r="B225">
        <v>310.5</v>
      </c>
      <c r="C225">
        <v>13.5</v>
      </c>
      <c r="D225">
        <v>20000</v>
      </c>
      <c r="E225">
        <v>54.6</v>
      </c>
      <c r="F225">
        <v>1</v>
      </c>
      <c r="G225">
        <v>270000</v>
      </c>
    </row>
    <row r="226" spans="1:7">
      <c r="A226">
        <v>41</v>
      </c>
      <c r="B226">
        <v>410</v>
      </c>
      <c r="C226">
        <v>10</v>
      </c>
      <c r="D226">
        <v>30000</v>
      </c>
      <c r="E226">
        <v>54.6</v>
      </c>
      <c r="F226">
        <v>0</v>
      </c>
      <c r="G226">
        <v>300000</v>
      </c>
    </row>
    <row r="227" spans="1:7">
      <c r="A227">
        <v>42</v>
      </c>
      <c r="B227">
        <v>420</v>
      </c>
      <c r="C227">
        <v>10</v>
      </c>
      <c r="D227">
        <v>20000</v>
      </c>
      <c r="E227">
        <v>54.6</v>
      </c>
      <c r="F227">
        <v>0</v>
      </c>
      <c r="G227">
        <v>200000</v>
      </c>
    </row>
    <row r="228" spans="1:7">
      <c r="A228">
        <v>35</v>
      </c>
      <c r="B228">
        <v>472.5</v>
      </c>
      <c r="C228">
        <v>13.5</v>
      </c>
      <c r="D228">
        <v>12500</v>
      </c>
      <c r="E228">
        <v>54.6</v>
      </c>
      <c r="F228">
        <v>1</v>
      </c>
      <c r="G228">
        <v>168750</v>
      </c>
    </row>
    <row r="229" spans="1:7">
      <c r="A229">
        <v>45</v>
      </c>
      <c r="B229">
        <v>540</v>
      </c>
      <c r="C229">
        <v>12</v>
      </c>
      <c r="D229">
        <v>20000</v>
      </c>
      <c r="E229">
        <v>54.6</v>
      </c>
      <c r="F229">
        <v>0</v>
      </c>
      <c r="G229">
        <v>240000</v>
      </c>
    </row>
    <row r="230" spans="1:7">
      <c r="A230">
        <v>20</v>
      </c>
      <c r="B230">
        <v>270</v>
      </c>
      <c r="C230">
        <v>13.5</v>
      </c>
      <c r="D230">
        <v>4500</v>
      </c>
      <c r="E230">
        <v>54.6</v>
      </c>
      <c r="F230">
        <v>0</v>
      </c>
      <c r="G230">
        <v>60750</v>
      </c>
    </row>
    <row r="231" spans="1:7">
      <c r="A231">
        <v>34</v>
      </c>
      <c r="B231">
        <v>612</v>
      </c>
      <c r="C231">
        <v>18</v>
      </c>
      <c r="D231">
        <v>20000</v>
      </c>
      <c r="E231">
        <v>54.6</v>
      </c>
      <c r="F231">
        <v>0</v>
      </c>
      <c r="G231">
        <v>360000</v>
      </c>
    </row>
    <row r="232" spans="1:7">
      <c r="A232">
        <v>52</v>
      </c>
      <c r="B232">
        <v>624</v>
      </c>
      <c r="C232">
        <v>12</v>
      </c>
      <c r="D232">
        <v>12500</v>
      </c>
      <c r="E232">
        <v>54.6</v>
      </c>
      <c r="F232">
        <v>1</v>
      </c>
      <c r="G232">
        <v>150000</v>
      </c>
    </row>
    <row r="233" spans="1:7">
      <c r="A233">
        <v>64</v>
      </c>
      <c r="B233">
        <v>864</v>
      </c>
      <c r="C233">
        <v>13.5</v>
      </c>
      <c r="D233">
        <v>8500</v>
      </c>
      <c r="E233">
        <v>54.6</v>
      </c>
      <c r="F233">
        <v>0</v>
      </c>
      <c r="G233">
        <v>114750</v>
      </c>
    </row>
    <row r="234" spans="1:7">
      <c r="A234">
        <v>19</v>
      </c>
      <c r="B234">
        <v>228</v>
      </c>
      <c r="C234">
        <v>12</v>
      </c>
      <c r="D234">
        <v>30000</v>
      </c>
      <c r="E234">
        <v>54.6</v>
      </c>
      <c r="F234">
        <v>0</v>
      </c>
      <c r="G234">
        <v>360000</v>
      </c>
    </row>
    <row r="235" spans="1:7">
      <c r="A235">
        <v>27</v>
      </c>
      <c r="B235">
        <v>364.5</v>
      </c>
      <c r="C235">
        <v>13.5</v>
      </c>
      <c r="D235">
        <v>6500</v>
      </c>
      <c r="E235">
        <v>54.6</v>
      </c>
      <c r="F235">
        <v>1</v>
      </c>
      <c r="G235">
        <v>87750</v>
      </c>
    </row>
    <row r="236" spans="1:7">
      <c r="A236">
        <v>26</v>
      </c>
      <c r="B236">
        <v>416</v>
      </c>
      <c r="C236">
        <v>16</v>
      </c>
      <c r="D236">
        <v>30000</v>
      </c>
      <c r="E236">
        <v>54.6</v>
      </c>
      <c r="F236">
        <v>0</v>
      </c>
      <c r="G236">
        <v>480000</v>
      </c>
    </row>
    <row r="237" spans="1:7">
      <c r="A237">
        <v>49</v>
      </c>
      <c r="B237">
        <v>882</v>
      </c>
      <c r="C237">
        <v>18</v>
      </c>
      <c r="D237">
        <v>30000</v>
      </c>
      <c r="E237">
        <v>54.6</v>
      </c>
      <c r="F237">
        <v>1</v>
      </c>
      <c r="G237">
        <v>540000</v>
      </c>
    </row>
    <row r="238" spans="1:7">
      <c r="A238">
        <v>46</v>
      </c>
      <c r="B238">
        <v>736</v>
      </c>
      <c r="C238">
        <v>16</v>
      </c>
      <c r="D238">
        <v>30000</v>
      </c>
      <c r="E238">
        <v>67</v>
      </c>
      <c r="F238">
        <v>0</v>
      </c>
      <c r="G238">
        <v>480000</v>
      </c>
    </row>
    <row r="239" spans="1:7">
      <c r="A239">
        <v>18</v>
      </c>
      <c r="B239">
        <v>216</v>
      </c>
      <c r="C239">
        <v>12</v>
      </c>
      <c r="D239">
        <v>30000</v>
      </c>
      <c r="E239">
        <v>67</v>
      </c>
      <c r="F239">
        <v>0</v>
      </c>
      <c r="G239">
        <v>360000</v>
      </c>
    </row>
    <row r="240" spans="1:7">
      <c r="A240">
        <v>53</v>
      </c>
      <c r="B240">
        <v>636</v>
      </c>
      <c r="C240">
        <v>12</v>
      </c>
      <c r="D240">
        <v>30000</v>
      </c>
      <c r="E240">
        <v>67</v>
      </c>
      <c r="F240">
        <v>0</v>
      </c>
      <c r="G240">
        <v>360000</v>
      </c>
    </row>
    <row r="241" spans="1:7">
      <c r="A241">
        <v>34</v>
      </c>
      <c r="B241">
        <v>408</v>
      </c>
      <c r="C241">
        <v>12</v>
      </c>
      <c r="D241">
        <v>20000</v>
      </c>
      <c r="E241">
        <v>67</v>
      </c>
      <c r="F241">
        <v>1</v>
      </c>
      <c r="G241">
        <v>240000</v>
      </c>
    </row>
    <row r="242" spans="1:7">
      <c r="A242">
        <v>71</v>
      </c>
      <c r="B242">
        <v>852</v>
      </c>
      <c r="C242">
        <v>12</v>
      </c>
      <c r="D242">
        <v>30000</v>
      </c>
      <c r="E242">
        <v>67</v>
      </c>
      <c r="F242">
        <v>0</v>
      </c>
      <c r="G242">
        <v>360000</v>
      </c>
    </row>
    <row r="243" spans="1:7">
      <c r="A243">
        <v>53</v>
      </c>
      <c r="B243">
        <v>530</v>
      </c>
      <c r="C243">
        <v>10</v>
      </c>
      <c r="D243">
        <v>20000</v>
      </c>
      <c r="E243">
        <v>67</v>
      </c>
      <c r="F243">
        <v>1</v>
      </c>
      <c r="G243">
        <v>200000</v>
      </c>
    </row>
    <row r="244" spans="1:7">
      <c r="A244">
        <v>49</v>
      </c>
      <c r="B244">
        <v>588</v>
      </c>
      <c r="C244">
        <v>12</v>
      </c>
      <c r="D244">
        <v>30000</v>
      </c>
      <c r="E244">
        <v>67</v>
      </c>
      <c r="F244">
        <v>1</v>
      </c>
      <c r="G244">
        <v>360000</v>
      </c>
    </row>
    <row r="245" spans="1:7">
      <c r="A245">
        <v>28</v>
      </c>
      <c r="B245">
        <v>280</v>
      </c>
      <c r="C245">
        <v>10</v>
      </c>
      <c r="D245">
        <v>12500</v>
      </c>
      <c r="E245">
        <v>67</v>
      </c>
      <c r="F245">
        <v>0</v>
      </c>
      <c r="G245">
        <v>125000</v>
      </c>
    </row>
    <row r="246" spans="1:7">
      <c r="A246">
        <v>42</v>
      </c>
      <c r="B246">
        <v>756</v>
      </c>
      <c r="C246">
        <v>18</v>
      </c>
      <c r="D246">
        <v>30000</v>
      </c>
      <c r="E246">
        <v>67</v>
      </c>
      <c r="F246">
        <v>0</v>
      </c>
      <c r="G246">
        <v>540000</v>
      </c>
    </row>
    <row r="247" spans="1:7">
      <c r="A247">
        <v>45</v>
      </c>
      <c r="B247">
        <v>720</v>
      </c>
      <c r="C247">
        <v>16</v>
      </c>
      <c r="D247">
        <v>30000</v>
      </c>
      <c r="E247">
        <v>67</v>
      </c>
      <c r="F247">
        <v>0</v>
      </c>
      <c r="G247">
        <v>480000</v>
      </c>
    </row>
    <row r="248" spans="1:7">
      <c r="A248">
        <v>43</v>
      </c>
      <c r="B248">
        <v>258</v>
      </c>
      <c r="C248">
        <v>6</v>
      </c>
      <c r="D248">
        <v>8500</v>
      </c>
      <c r="E248">
        <v>67</v>
      </c>
      <c r="F248">
        <v>0</v>
      </c>
      <c r="G248">
        <v>51000</v>
      </c>
    </row>
    <row r="249" spans="1:7">
      <c r="A249">
        <v>18</v>
      </c>
      <c r="B249">
        <v>180</v>
      </c>
      <c r="C249">
        <v>10</v>
      </c>
      <c r="D249">
        <v>5500</v>
      </c>
      <c r="E249">
        <v>67</v>
      </c>
      <c r="F249">
        <v>0</v>
      </c>
      <c r="G249">
        <v>55000</v>
      </c>
    </row>
    <row r="250" spans="1:7">
      <c r="A250">
        <v>51</v>
      </c>
      <c r="B250">
        <v>816</v>
      </c>
      <c r="C250">
        <v>16</v>
      </c>
      <c r="D250">
        <v>30000</v>
      </c>
      <c r="E250">
        <v>67</v>
      </c>
      <c r="F250">
        <v>1</v>
      </c>
      <c r="G250">
        <v>480000</v>
      </c>
    </row>
    <row r="251" spans="1:7">
      <c r="A251">
        <v>23</v>
      </c>
      <c r="B251">
        <v>368</v>
      </c>
      <c r="C251">
        <v>16</v>
      </c>
      <c r="D251">
        <v>20000</v>
      </c>
      <c r="E251">
        <v>67</v>
      </c>
      <c r="F251">
        <v>0</v>
      </c>
      <c r="G251">
        <v>320000</v>
      </c>
    </row>
    <row r="252" spans="1:7">
      <c r="A252">
        <v>37</v>
      </c>
      <c r="B252">
        <v>666</v>
      </c>
      <c r="C252">
        <v>18</v>
      </c>
      <c r="D252">
        <v>30000</v>
      </c>
      <c r="E252">
        <v>67</v>
      </c>
      <c r="F252">
        <v>0</v>
      </c>
      <c r="G252">
        <v>540000</v>
      </c>
    </row>
    <row r="253" spans="1:7">
      <c r="A253">
        <v>53</v>
      </c>
      <c r="B253">
        <v>954</v>
      </c>
      <c r="C253">
        <v>18</v>
      </c>
      <c r="D253">
        <v>30000</v>
      </c>
      <c r="E253">
        <v>67</v>
      </c>
      <c r="F253">
        <v>0</v>
      </c>
      <c r="G253">
        <v>540000</v>
      </c>
    </row>
    <row r="254" spans="1:7">
      <c r="A254">
        <v>58</v>
      </c>
      <c r="B254">
        <v>928</v>
      </c>
      <c r="C254">
        <v>16</v>
      </c>
      <c r="D254">
        <v>20000</v>
      </c>
      <c r="E254">
        <v>67</v>
      </c>
      <c r="F254">
        <v>1</v>
      </c>
      <c r="G254">
        <v>320000</v>
      </c>
    </row>
    <row r="255" spans="1:7">
      <c r="A255">
        <v>17</v>
      </c>
      <c r="B255">
        <v>136</v>
      </c>
      <c r="C255">
        <v>8</v>
      </c>
      <c r="D255">
        <v>30000</v>
      </c>
      <c r="E255">
        <v>67</v>
      </c>
      <c r="F255">
        <v>1</v>
      </c>
      <c r="G255">
        <v>240000</v>
      </c>
    </row>
    <row r="256" spans="1:7">
      <c r="A256">
        <v>33</v>
      </c>
      <c r="B256">
        <v>396</v>
      </c>
      <c r="C256">
        <v>12</v>
      </c>
      <c r="D256">
        <v>6500</v>
      </c>
      <c r="E256">
        <v>67</v>
      </c>
      <c r="F256">
        <v>1</v>
      </c>
      <c r="G256">
        <v>78000</v>
      </c>
    </row>
    <row r="257" spans="1:7">
      <c r="A257">
        <v>33</v>
      </c>
      <c r="B257">
        <v>594</v>
      </c>
      <c r="C257">
        <v>18</v>
      </c>
      <c r="D257">
        <v>30000</v>
      </c>
      <c r="E257">
        <v>67</v>
      </c>
      <c r="F257">
        <v>0</v>
      </c>
      <c r="G257">
        <v>540000</v>
      </c>
    </row>
    <row r="258" spans="1:7">
      <c r="A258">
        <v>22</v>
      </c>
      <c r="B258">
        <v>264</v>
      </c>
      <c r="C258">
        <v>12</v>
      </c>
      <c r="D258">
        <v>12500</v>
      </c>
      <c r="E258">
        <v>62.7</v>
      </c>
      <c r="F258">
        <v>1</v>
      </c>
      <c r="G258">
        <v>150000</v>
      </c>
    </row>
    <row r="259" spans="1:7">
      <c r="A259">
        <v>39</v>
      </c>
      <c r="B259">
        <v>468</v>
      </c>
      <c r="C259">
        <v>12</v>
      </c>
      <c r="D259">
        <v>20000</v>
      </c>
      <c r="E259">
        <v>62.7</v>
      </c>
      <c r="F259">
        <v>1</v>
      </c>
      <c r="G259">
        <v>240000</v>
      </c>
    </row>
    <row r="260" spans="1:7">
      <c r="A260">
        <v>49</v>
      </c>
      <c r="B260">
        <v>392</v>
      </c>
      <c r="C260">
        <v>8</v>
      </c>
      <c r="D260">
        <v>12500</v>
      </c>
      <c r="E260">
        <v>65.599999999999994</v>
      </c>
      <c r="F260">
        <v>1</v>
      </c>
      <c r="G260">
        <v>100000</v>
      </c>
    </row>
    <row r="261" spans="1:7">
      <c r="A261">
        <v>23</v>
      </c>
      <c r="B261">
        <v>310.5</v>
      </c>
      <c r="C261">
        <v>13.5</v>
      </c>
      <c r="D261">
        <v>30000</v>
      </c>
      <c r="E261">
        <v>65.599999999999994</v>
      </c>
      <c r="F261">
        <v>1</v>
      </c>
      <c r="G261">
        <v>405000</v>
      </c>
    </row>
    <row r="262" spans="1:7">
      <c r="A262">
        <v>54</v>
      </c>
      <c r="B262">
        <v>648</v>
      </c>
      <c r="C262">
        <v>12</v>
      </c>
      <c r="D262">
        <v>8500</v>
      </c>
      <c r="E262">
        <v>65.599999999999994</v>
      </c>
      <c r="F262">
        <v>1</v>
      </c>
      <c r="G262">
        <v>102000</v>
      </c>
    </row>
    <row r="263" spans="1:7">
      <c r="A263">
        <v>62</v>
      </c>
      <c r="B263">
        <v>620</v>
      </c>
      <c r="C263">
        <v>10</v>
      </c>
      <c r="D263">
        <v>20000</v>
      </c>
      <c r="E263">
        <v>69.8</v>
      </c>
      <c r="F263">
        <v>1</v>
      </c>
      <c r="G263">
        <v>200000</v>
      </c>
    </row>
    <row r="264" spans="1:7">
      <c r="A264">
        <v>36</v>
      </c>
      <c r="B264">
        <v>486</v>
      </c>
      <c r="C264">
        <v>13.5</v>
      </c>
      <c r="D264">
        <v>30000</v>
      </c>
      <c r="E264">
        <v>69.8</v>
      </c>
      <c r="F264">
        <v>0</v>
      </c>
      <c r="G264">
        <v>405000</v>
      </c>
    </row>
    <row r="265" spans="1:7">
      <c r="A265">
        <v>57</v>
      </c>
      <c r="B265">
        <v>684</v>
      </c>
      <c r="C265">
        <v>12</v>
      </c>
      <c r="D265">
        <v>20000</v>
      </c>
      <c r="E265">
        <v>69.8</v>
      </c>
      <c r="F265">
        <v>0</v>
      </c>
      <c r="G265">
        <v>240000</v>
      </c>
    </row>
    <row r="266" spans="1:7">
      <c r="A266">
        <v>17</v>
      </c>
      <c r="B266">
        <v>42.5</v>
      </c>
      <c r="C266">
        <v>2.5</v>
      </c>
      <c r="D266">
        <v>8500</v>
      </c>
      <c r="E266">
        <v>69.8</v>
      </c>
      <c r="F266">
        <v>0</v>
      </c>
      <c r="G266">
        <v>21250</v>
      </c>
    </row>
    <row r="267" spans="1:7">
      <c r="A267">
        <v>35</v>
      </c>
      <c r="B267">
        <v>560</v>
      </c>
      <c r="C267">
        <v>16</v>
      </c>
      <c r="D267">
        <v>20000</v>
      </c>
      <c r="E267">
        <v>69.8</v>
      </c>
      <c r="F267">
        <v>1</v>
      </c>
      <c r="G267">
        <v>320000</v>
      </c>
    </row>
    <row r="268" spans="1:7">
      <c r="A268">
        <v>30</v>
      </c>
      <c r="B268">
        <v>450</v>
      </c>
      <c r="C268">
        <v>15</v>
      </c>
      <c r="D268">
        <v>20000</v>
      </c>
      <c r="E268">
        <v>69.8</v>
      </c>
      <c r="F268">
        <v>0</v>
      </c>
      <c r="G268">
        <v>300000</v>
      </c>
    </row>
    <row r="269" spans="1:7">
      <c r="A269">
        <v>42</v>
      </c>
      <c r="B269">
        <v>504</v>
      </c>
      <c r="C269">
        <v>12</v>
      </c>
      <c r="D269">
        <v>12500</v>
      </c>
      <c r="E269">
        <v>69.8</v>
      </c>
      <c r="F269">
        <v>0</v>
      </c>
      <c r="G269">
        <v>150000</v>
      </c>
    </row>
    <row r="270" spans="1:7">
      <c r="A270">
        <v>50</v>
      </c>
      <c r="B270">
        <v>500</v>
      </c>
      <c r="C270">
        <v>10</v>
      </c>
      <c r="D270">
        <v>30000</v>
      </c>
      <c r="E270">
        <v>69.8</v>
      </c>
      <c r="F270">
        <v>0</v>
      </c>
      <c r="G270">
        <v>300000</v>
      </c>
    </row>
    <row r="271" spans="1:7">
      <c r="A271">
        <v>66</v>
      </c>
      <c r="B271">
        <v>792</v>
      </c>
      <c r="C271">
        <v>12</v>
      </c>
      <c r="D271">
        <v>6500</v>
      </c>
      <c r="E271">
        <v>69.8</v>
      </c>
      <c r="F271">
        <v>1</v>
      </c>
      <c r="G271">
        <v>78000</v>
      </c>
    </row>
    <row r="272" spans="1:7">
      <c r="A272">
        <v>67</v>
      </c>
      <c r="B272">
        <v>670</v>
      </c>
      <c r="C272">
        <v>10</v>
      </c>
      <c r="D272">
        <v>8500</v>
      </c>
      <c r="E272">
        <v>69.8</v>
      </c>
      <c r="F272">
        <v>1</v>
      </c>
      <c r="G272">
        <v>85000</v>
      </c>
    </row>
    <row r="273" spans="1:7">
      <c r="A273">
        <v>82</v>
      </c>
      <c r="B273">
        <v>820</v>
      </c>
      <c r="C273">
        <v>10</v>
      </c>
      <c r="D273">
        <v>20000</v>
      </c>
      <c r="E273">
        <v>69.8</v>
      </c>
      <c r="F273">
        <v>0</v>
      </c>
      <c r="G273">
        <v>200000</v>
      </c>
    </row>
    <row r="274" spans="1:7">
      <c r="A274">
        <v>72</v>
      </c>
      <c r="B274">
        <v>864</v>
      </c>
      <c r="C274">
        <v>12</v>
      </c>
      <c r="D274">
        <v>20000</v>
      </c>
      <c r="E274">
        <v>69.8</v>
      </c>
      <c r="F274">
        <v>0</v>
      </c>
      <c r="G274">
        <v>240000</v>
      </c>
    </row>
    <row r="275" spans="1:7">
      <c r="A275">
        <v>29</v>
      </c>
      <c r="B275">
        <v>464</v>
      </c>
      <c r="C275">
        <v>16</v>
      </c>
      <c r="D275">
        <v>20000</v>
      </c>
      <c r="E275">
        <v>69.8</v>
      </c>
      <c r="F275">
        <v>0</v>
      </c>
      <c r="G275">
        <v>320000</v>
      </c>
    </row>
    <row r="276" spans="1:7">
      <c r="A276">
        <v>46</v>
      </c>
      <c r="B276">
        <v>460</v>
      </c>
      <c r="C276">
        <v>10</v>
      </c>
      <c r="D276">
        <v>20000</v>
      </c>
      <c r="E276">
        <v>69.8</v>
      </c>
      <c r="F276">
        <v>1</v>
      </c>
      <c r="G276">
        <v>200000</v>
      </c>
    </row>
    <row r="277" spans="1:7">
      <c r="A277">
        <v>43</v>
      </c>
      <c r="B277">
        <v>516</v>
      </c>
      <c r="C277">
        <v>12</v>
      </c>
      <c r="D277">
        <v>12500</v>
      </c>
      <c r="E277">
        <v>69.8</v>
      </c>
      <c r="F277">
        <v>0</v>
      </c>
      <c r="G277">
        <v>150000</v>
      </c>
    </row>
    <row r="278" spans="1:7">
      <c r="A278">
        <v>64</v>
      </c>
      <c r="B278">
        <v>384</v>
      </c>
      <c r="C278">
        <v>6</v>
      </c>
      <c r="D278">
        <v>5500</v>
      </c>
      <c r="E278">
        <v>69.8</v>
      </c>
      <c r="F278">
        <v>0</v>
      </c>
      <c r="G278">
        <v>33000</v>
      </c>
    </row>
    <row r="279" spans="1:7">
      <c r="A279">
        <v>66</v>
      </c>
      <c r="B279">
        <v>660</v>
      </c>
      <c r="C279">
        <v>10</v>
      </c>
      <c r="D279">
        <v>12500</v>
      </c>
      <c r="E279">
        <v>69.8</v>
      </c>
      <c r="F279">
        <v>1</v>
      </c>
      <c r="G279">
        <v>125000</v>
      </c>
    </row>
    <row r="280" spans="1:7">
      <c r="A280">
        <v>22</v>
      </c>
      <c r="B280">
        <v>264</v>
      </c>
      <c r="C280">
        <v>12</v>
      </c>
      <c r="D280">
        <v>30000</v>
      </c>
      <c r="E280">
        <v>69.8</v>
      </c>
      <c r="F280">
        <v>1</v>
      </c>
      <c r="G280">
        <v>360000</v>
      </c>
    </row>
    <row r="281" spans="1:7">
      <c r="A281">
        <v>57</v>
      </c>
      <c r="B281">
        <v>684</v>
      </c>
      <c r="C281">
        <v>12</v>
      </c>
      <c r="D281">
        <v>8500</v>
      </c>
      <c r="E281">
        <v>69.8</v>
      </c>
      <c r="F281">
        <v>0</v>
      </c>
      <c r="G281">
        <v>102000</v>
      </c>
    </row>
    <row r="282" spans="1:7">
      <c r="A282">
        <v>23</v>
      </c>
      <c r="B282">
        <v>310.5</v>
      </c>
      <c r="C282">
        <v>13.5</v>
      </c>
      <c r="D282">
        <v>20000</v>
      </c>
      <c r="E282">
        <v>69.8</v>
      </c>
      <c r="F282">
        <v>1</v>
      </c>
      <c r="G282">
        <v>270000</v>
      </c>
    </row>
    <row r="283" spans="1:7">
      <c r="A283">
        <v>17</v>
      </c>
      <c r="B283">
        <v>170</v>
      </c>
      <c r="C283">
        <v>10</v>
      </c>
      <c r="D283">
        <v>12500</v>
      </c>
      <c r="E283">
        <v>69.8</v>
      </c>
      <c r="F283">
        <v>0</v>
      </c>
      <c r="G283">
        <v>125000</v>
      </c>
    </row>
    <row r="284" spans="1:7">
      <c r="A284">
        <v>47</v>
      </c>
      <c r="B284">
        <v>117.5</v>
      </c>
      <c r="C284">
        <v>2.5</v>
      </c>
      <c r="D284">
        <v>12500</v>
      </c>
      <c r="E284">
        <v>69.8</v>
      </c>
      <c r="F284">
        <v>1</v>
      </c>
      <c r="G284">
        <v>31250</v>
      </c>
    </row>
    <row r="285" spans="1:7">
      <c r="A285">
        <v>22</v>
      </c>
      <c r="B285">
        <v>264</v>
      </c>
      <c r="C285">
        <v>12</v>
      </c>
      <c r="D285">
        <v>4500</v>
      </c>
      <c r="E285">
        <v>69.8</v>
      </c>
      <c r="F285">
        <v>0</v>
      </c>
      <c r="G285">
        <v>54000</v>
      </c>
    </row>
    <row r="286" spans="1:7">
      <c r="A286">
        <v>75</v>
      </c>
      <c r="B286">
        <v>600</v>
      </c>
      <c r="C286">
        <v>8</v>
      </c>
      <c r="D286">
        <v>6500</v>
      </c>
      <c r="E286">
        <v>69.8</v>
      </c>
      <c r="F286">
        <v>0</v>
      </c>
      <c r="G286">
        <v>52000</v>
      </c>
    </row>
    <row r="287" spans="1:7">
      <c r="A287">
        <v>71</v>
      </c>
      <c r="B287">
        <v>568</v>
      </c>
      <c r="C287">
        <v>8</v>
      </c>
      <c r="D287">
        <v>5500</v>
      </c>
      <c r="E287">
        <v>69.8</v>
      </c>
      <c r="F287">
        <v>0</v>
      </c>
      <c r="G287">
        <v>44000</v>
      </c>
    </row>
    <row r="288" spans="1:7">
      <c r="A288">
        <v>31</v>
      </c>
      <c r="B288">
        <v>558</v>
      </c>
      <c r="C288">
        <v>18</v>
      </c>
      <c r="D288">
        <v>30000</v>
      </c>
      <c r="E288">
        <v>69.8</v>
      </c>
      <c r="F288">
        <v>0</v>
      </c>
      <c r="G288">
        <v>540000</v>
      </c>
    </row>
    <row r="289" spans="1:7">
      <c r="A289">
        <v>41</v>
      </c>
      <c r="B289">
        <v>738</v>
      </c>
      <c r="C289">
        <v>18</v>
      </c>
      <c r="D289">
        <v>20000</v>
      </c>
      <c r="E289">
        <v>69.8</v>
      </c>
      <c r="F289">
        <v>0</v>
      </c>
      <c r="G289">
        <v>360000</v>
      </c>
    </row>
    <row r="290" spans="1:7">
      <c r="A290">
        <v>25</v>
      </c>
      <c r="B290">
        <v>300</v>
      </c>
      <c r="C290">
        <v>12</v>
      </c>
      <c r="D290">
        <v>20000</v>
      </c>
      <c r="E290">
        <v>69.8</v>
      </c>
      <c r="F290">
        <v>0</v>
      </c>
      <c r="G290">
        <v>240000</v>
      </c>
    </row>
    <row r="291" spans="1:7">
      <c r="A291">
        <v>73</v>
      </c>
      <c r="B291">
        <v>985.5</v>
      </c>
      <c r="C291">
        <v>13.5</v>
      </c>
      <c r="D291">
        <v>30000</v>
      </c>
      <c r="E291">
        <v>69.8</v>
      </c>
      <c r="F291">
        <v>0</v>
      </c>
      <c r="G291">
        <v>405000</v>
      </c>
    </row>
    <row r="292" spans="1:7">
      <c r="A292">
        <v>18</v>
      </c>
      <c r="B292">
        <v>216</v>
      </c>
      <c r="C292">
        <v>12</v>
      </c>
      <c r="D292">
        <v>3500</v>
      </c>
      <c r="E292">
        <v>69.8</v>
      </c>
      <c r="F292">
        <v>0</v>
      </c>
      <c r="G292">
        <v>42000</v>
      </c>
    </row>
    <row r="293" spans="1:7">
      <c r="A293">
        <v>36</v>
      </c>
      <c r="B293">
        <v>360</v>
      </c>
      <c r="C293">
        <v>10</v>
      </c>
      <c r="D293">
        <v>30000</v>
      </c>
      <c r="E293">
        <v>69.8</v>
      </c>
      <c r="F293">
        <v>1</v>
      </c>
      <c r="G293">
        <v>300000</v>
      </c>
    </row>
    <row r="294" spans="1:7">
      <c r="A294">
        <v>54</v>
      </c>
      <c r="B294">
        <v>648</v>
      </c>
      <c r="C294">
        <v>12</v>
      </c>
      <c r="D294">
        <v>8500</v>
      </c>
      <c r="E294">
        <v>69.8</v>
      </c>
      <c r="F294">
        <v>0</v>
      </c>
      <c r="G294">
        <v>102000</v>
      </c>
    </row>
    <row r="295" spans="1:7">
      <c r="A295">
        <v>67</v>
      </c>
      <c r="B295">
        <v>536</v>
      </c>
      <c r="C295">
        <v>8</v>
      </c>
      <c r="D295">
        <v>8500</v>
      </c>
      <c r="E295">
        <v>69.8</v>
      </c>
      <c r="F295">
        <v>0</v>
      </c>
      <c r="G295">
        <v>68000</v>
      </c>
    </row>
    <row r="296" spans="1:7">
      <c r="A296">
        <v>27</v>
      </c>
      <c r="B296">
        <v>270</v>
      </c>
      <c r="C296">
        <v>10</v>
      </c>
      <c r="D296">
        <v>12500</v>
      </c>
      <c r="E296">
        <v>69.8</v>
      </c>
      <c r="F296">
        <v>0</v>
      </c>
      <c r="G296">
        <v>125000</v>
      </c>
    </row>
    <row r="297" spans="1:7">
      <c r="A297">
        <v>32</v>
      </c>
      <c r="B297">
        <v>320</v>
      </c>
      <c r="C297">
        <v>10</v>
      </c>
      <c r="D297">
        <v>20000</v>
      </c>
      <c r="E297">
        <v>69.8</v>
      </c>
      <c r="F297">
        <v>0</v>
      </c>
      <c r="G297">
        <v>200000</v>
      </c>
    </row>
    <row r="298" spans="1:7">
      <c r="A298">
        <v>74</v>
      </c>
      <c r="B298">
        <v>185</v>
      </c>
      <c r="C298">
        <v>2.5</v>
      </c>
      <c r="D298">
        <v>5500</v>
      </c>
      <c r="E298">
        <v>69.8</v>
      </c>
      <c r="F298">
        <v>0</v>
      </c>
      <c r="G298">
        <v>13750</v>
      </c>
    </row>
    <row r="299" spans="1:7">
      <c r="A299">
        <v>44</v>
      </c>
      <c r="B299">
        <v>264</v>
      </c>
      <c r="C299">
        <v>6</v>
      </c>
      <c r="D299">
        <v>12500</v>
      </c>
      <c r="E299">
        <v>69.8</v>
      </c>
      <c r="F299">
        <v>0</v>
      </c>
      <c r="G299">
        <v>75000</v>
      </c>
    </row>
    <row r="300" spans="1:7">
      <c r="A300">
        <v>26</v>
      </c>
      <c r="B300">
        <v>312</v>
      </c>
      <c r="C300">
        <v>12</v>
      </c>
      <c r="D300">
        <v>20000</v>
      </c>
      <c r="E300">
        <v>69.8</v>
      </c>
      <c r="F300">
        <v>0</v>
      </c>
      <c r="G300">
        <v>240000</v>
      </c>
    </row>
    <row r="301" spans="1:7">
      <c r="A301">
        <v>61</v>
      </c>
      <c r="B301">
        <v>732</v>
      </c>
      <c r="C301">
        <v>12</v>
      </c>
      <c r="D301">
        <v>20000</v>
      </c>
      <c r="E301">
        <v>69.8</v>
      </c>
      <c r="F301">
        <v>0</v>
      </c>
      <c r="G301">
        <v>240000</v>
      </c>
    </row>
    <row r="302" spans="1:7">
      <c r="A302">
        <v>35</v>
      </c>
      <c r="B302">
        <v>420</v>
      </c>
      <c r="C302">
        <v>12</v>
      </c>
      <c r="D302">
        <v>30000</v>
      </c>
      <c r="E302">
        <v>69.8</v>
      </c>
      <c r="F302">
        <v>1</v>
      </c>
      <c r="G302">
        <v>360000</v>
      </c>
    </row>
    <row r="303" spans="1:7">
      <c r="A303">
        <v>19</v>
      </c>
      <c r="B303">
        <v>190</v>
      </c>
      <c r="C303">
        <v>10</v>
      </c>
      <c r="D303">
        <v>12500</v>
      </c>
      <c r="E303">
        <v>69.8</v>
      </c>
      <c r="F303">
        <v>0</v>
      </c>
      <c r="G303">
        <v>125000</v>
      </c>
    </row>
    <row r="304" spans="1:7">
      <c r="A304">
        <v>66</v>
      </c>
      <c r="B304">
        <v>792</v>
      </c>
      <c r="C304">
        <v>12</v>
      </c>
      <c r="D304">
        <v>12500</v>
      </c>
      <c r="E304">
        <v>69.8</v>
      </c>
      <c r="F304">
        <v>1</v>
      </c>
      <c r="G304">
        <v>150000</v>
      </c>
    </row>
    <row r="305" spans="1:7">
      <c r="A305">
        <v>67</v>
      </c>
      <c r="B305">
        <v>670</v>
      </c>
      <c r="C305">
        <v>10</v>
      </c>
      <c r="D305">
        <v>6500</v>
      </c>
      <c r="E305">
        <v>69.8</v>
      </c>
      <c r="F305">
        <v>0</v>
      </c>
      <c r="G305">
        <v>65000</v>
      </c>
    </row>
    <row r="306" spans="1:7">
      <c r="A306">
        <v>43</v>
      </c>
      <c r="B306">
        <v>516</v>
      </c>
      <c r="C306">
        <v>12</v>
      </c>
      <c r="D306">
        <v>20000</v>
      </c>
      <c r="E306">
        <v>69.8</v>
      </c>
      <c r="F306">
        <v>0</v>
      </c>
      <c r="G306">
        <v>240000</v>
      </c>
    </row>
    <row r="307" spans="1:7">
      <c r="A307">
        <v>51</v>
      </c>
      <c r="B307">
        <v>612</v>
      </c>
      <c r="C307">
        <v>12</v>
      </c>
      <c r="D307">
        <v>30000</v>
      </c>
      <c r="E307">
        <v>69.8</v>
      </c>
      <c r="F307">
        <v>0</v>
      </c>
      <c r="G307">
        <v>360000</v>
      </c>
    </row>
    <row r="308" spans="1:7">
      <c r="A308">
        <v>24</v>
      </c>
      <c r="B308">
        <v>288</v>
      </c>
      <c r="C308">
        <v>12</v>
      </c>
      <c r="D308">
        <v>8500</v>
      </c>
      <c r="E308">
        <v>69.8</v>
      </c>
      <c r="F308">
        <v>0</v>
      </c>
      <c r="G308">
        <v>102000</v>
      </c>
    </row>
    <row r="309" spans="1:7">
      <c r="A309">
        <v>33</v>
      </c>
      <c r="B309">
        <v>445.5</v>
      </c>
      <c r="C309">
        <v>13.5</v>
      </c>
      <c r="D309">
        <v>20000</v>
      </c>
      <c r="E309">
        <v>59.3</v>
      </c>
      <c r="F309">
        <v>1</v>
      </c>
      <c r="G309">
        <v>270000</v>
      </c>
    </row>
    <row r="310" spans="1:7">
      <c r="A310">
        <v>34</v>
      </c>
      <c r="B310">
        <v>340</v>
      </c>
      <c r="C310">
        <v>10</v>
      </c>
      <c r="D310">
        <v>20000</v>
      </c>
      <c r="E310">
        <v>59.3</v>
      </c>
      <c r="F310">
        <v>0</v>
      </c>
      <c r="G310">
        <v>200000</v>
      </c>
    </row>
    <row r="311" spans="1:7">
      <c r="A311">
        <v>31</v>
      </c>
      <c r="B311">
        <v>310</v>
      </c>
      <c r="C311">
        <v>10</v>
      </c>
      <c r="D311">
        <v>8500</v>
      </c>
      <c r="E311">
        <v>59.3</v>
      </c>
      <c r="F311">
        <v>1</v>
      </c>
      <c r="G311">
        <v>85000</v>
      </c>
    </row>
    <row r="312" spans="1:7">
      <c r="A312">
        <v>36</v>
      </c>
      <c r="B312">
        <v>432</v>
      </c>
      <c r="C312">
        <v>12</v>
      </c>
      <c r="D312">
        <v>8500</v>
      </c>
      <c r="E312">
        <v>59.3</v>
      </c>
      <c r="F312">
        <v>1</v>
      </c>
      <c r="G312">
        <v>102000</v>
      </c>
    </row>
    <row r="313" spans="1:7">
      <c r="A313">
        <v>58</v>
      </c>
      <c r="B313">
        <v>580</v>
      </c>
      <c r="C313">
        <v>10</v>
      </c>
      <c r="D313">
        <v>20000</v>
      </c>
      <c r="E313">
        <v>59.3</v>
      </c>
      <c r="F313">
        <v>0</v>
      </c>
      <c r="G313">
        <v>200000</v>
      </c>
    </row>
    <row r="314" spans="1:7">
      <c r="A314">
        <v>36</v>
      </c>
      <c r="B314">
        <v>360</v>
      </c>
      <c r="C314">
        <v>10</v>
      </c>
      <c r="D314">
        <v>12500</v>
      </c>
      <c r="E314">
        <v>59.3</v>
      </c>
      <c r="F314">
        <v>0</v>
      </c>
      <c r="G314">
        <v>125000</v>
      </c>
    </row>
    <row r="315" spans="1:7">
      <c r="A315">
        <v>30</v>
      </c>
      <c r="B315">
        <v>540</v>
      </c>
      <c r="C315">
        <v>18</v>
      </c>
      <c r="D315">
        <v>8500</v>
      </c>
      <c r="E315">
        <v>59.3</v>
      </c>
      <c r="F315">
        <v>0</v>
      </c>
      <c r="G315">
        <v>153000</v>
      </c>
    </row>
    <row r="316" spans="1:7">
      <c r="A316">
        <v>25</v>
      </c>
      <c r="B316">
        <v>375</v>
      </c>
      <c r="C316">
        <v>15</v>
      </c>
      <c r="D316">
        <v>500</v>
      </c>
      <c r="E316">
        <v>59.3</v>
      </c>
      <c r="F316">
        <v>1</v>
      </c>
      <c r="G316">
        <v>7500</v>
      </c>
    </row>
    <row r="317" spans="1:7">
      <c r="A317">
        <v>32</v>
      </c>
      <c r="B317">
        <v>512</v>
      </c>
      <c r="C317">
        <v>16</v>
      </c>
      <c r="D317">
        <v>30000</v>
      </c>
      <c r="E317">
        <v>59.3</v>
      </c>
      <c r="F317">
        <v>0</v>
      </c>
      <c r="G317">
        <v>480000</v>
      </c>
    </row>
    <row r="318" spans="1:7">
      <c r="A318">
        <v>33</v>
      </c>
      <c r="B318">
        <v>264</v>
      </c>
      <c r="C318">
        <v>8</v>
      </c>
      <c r="D318">
        <v>8500</v>
      </c>
      <c r="E318">
        <v>59.3</v>
      </c>
      <c r="F318">
        <v>0</v>
      </c>
      <c r="G318">
        <v>68000</v>
      </c>
    </row>
    <row r="319" spans="1:7">
      <c r="A319">
        <v>59</v>
      </c>
      <c r="B319">
        <v>354</v>
      </c>
      <c r="C319">
        <v>6</v>
      </c>
      <c r="D319">
        <v>3500</v>
      </c>
      <c r="E319">
        <v>59.3</v>
      </c>
      <c r="F319">
        <v>1</v>
      </c>
      <c r="G319">
        <v>21000</v>
      </c>
    </row>
    <row r="320" spans="1:7">
      <c r="A320">
        <v>41</v>
      </c>
      <c r="B320">
        <v>410</v>
      </c>
      <c r="C320">
        <v>10</v>
      </c>
      <c r="D320">
        <v>12500</v>
      </c>
      <c r="E320">
        <v>59.3</v>
      </c>
      <c r="F320">
        <v>1</v>
      </c>
      <c r="G320">
        <v>125000</v>
      </c>
    </row>
    <row r="321" spans="1:7">
      <c r="A321">
        <v>63</v>
      </c>
      <c r="B321">
        <v>756</v>
      </c>
      <c r="C321">
        <v>12</v>
      </c>
      <c r="D321">
        <v>5500</v>
      </c>
      <c r="E321">
        <v>59.3</v>
      </c>
      <c r="F321">
        <v>0</v>
      </c>
      <c r="G321">
        <v>66000</v>
      </c>
    </row>
    <row r="322" spans="1:7">
      <c r="A322">
        <v>39</v>
      </c>
      <c r="B322">
        <v>624</v>
      </c>
      <c r="C322">
        <v>16</v>
      </c>
      <c r="D322">
        <v>30000</v>
      </c>
      <c r="E322">
        <v>63.5</v>
      </c>
      <c r="F322">
        <v>0</v>
      </c>
      <c r="G322">
        <v>480000</v>
      </c>
    </row>
    <row r="323" spans="1:7">
      <c r="A323">
        <v>39</v>
      </c>
      <c r="B323">
        <v>526.5</v>
      </c>
      <c r="C323">
        <v>13.5</v>
      </c>
      <c r="D323">
        <v>8500</v>
      </c>
      <c r="E323">
        <v>63.5</v>
      </c>
      <c r="F323">
        <v>0</v>
      </c>
      <c r="G323">
        <v>114750</v>
      </c>
    </row>
    <row r="324" spans="1:7">
      <c r="A324">
        <v>34</v>
      </c>
      <c r="B324">
        <v>544</v>
      </c>
      <c r="C324">
        <v>16</v>
      </c>
      <c r="D324">
        <v>20000</v>
      </c>
      <c r="E324">
        <v>63.5</v>
      </c>
      <c r="F324">
        <v>0</v>
      </c>
      <c r="G324">
        <v>320000</v>
      </c>
    </row>
    <row r="325" spans="1:7">
      <c r="A325">
        <v>30</v>
      </c>
      <c r="B325">
        <v>360</v>
      </c>
      <c r="C325">
        <v>12</v>
      </c>
      <c r="D325">
        <v>12500</v>
      </c>
      <c r="E325">
        <v>63.5</v>
      </c>
      <c r="F325">
        <v>0</v>
      </c>
      <c r="G325">
        <v>150000</v>
      </c>
    </row>
    <row r="326" spans="1:7">
      <c r="A326">
        <v>52</v>
      </c>
      <c r="B326">
        <v>936</v>
      </c>
      <c r="C326">
        <v>18</v>
      </c>
      <c r="D326">
        <v>30000</v>
      </c>
      <c r="E326">
        <v>63.5</v>
      </c>
      <c r="F326">
        <v>0</v>
      </c>
      <c r="G326">
        <v>540000</v>
      </c>
    </row>
    <row r="327" spans="1:7">
      <c r="A327">
        <v>44</v>
      </c>
      <c r="B327">
        <v>594</v>
      </c>
      <c r="C327">
        <v>13.5</v>
      </c>
      <c r="D327">
        <v>20000</v>
      </c>
      <c r="E327">
        <v>63.5</v>
      </c>
      <c r="F327">
        <v>1</v>
      </c>
      <c r="G327">
        <v>270000</v>
      </c>
    </row>
    <row r="328" spans="1:7">
      <c r="A328">
        <v>69</v>
      </c>
      <c r="B328">
        <v>552</v>
      </c>
      <c r="C328">
        <v>8</v>
      </c>
      <c r="D328">
        <v>6500</v>
      </c>
      <c r="E328">
        <v>60</v>
      </c>
      <c r="F328">
        <v>0</v>
      </c>
      <c r="G328">
        <v>52000</v>
      </c>
    </row>
    <row r="329" spans="1:7">
      <c r="A329">
        <v>27</v>
      </c>
      <c r="B329">
        <v>324</v>
      </c>
      <c r="C329">
        <v>12</v>
      </c>
      <c r="D329">
        <v>20000</v>
      </c>
      <c r="E329">
        <v>60</v>
      </c>
      <c r="F329">
        <v>0</v>
      </c>
      <c r="G329">
        <v>240000</v>
      </c>
    </row>
    <row r="330" spans="1:7">
      <c r="A330">
        <v>59</v>
      </c>
      <c r="B330">
        <v>590</v>
      </c>
      <c r="C330">
        <v>10</v>
      </c>
      <c r="D330">
        <v>20000</v>
      </c>
      <c r="E330">
        <v>60</v>
      </c>
      <c r="F330">
        <v>0</v>
      </c>
      <c r="G330">
        <v>200000</v>
      </c>
    </row>
    <row r="331" spans="1:7">
      <c r="A331">
        <v>48</v>
      </c>
      <c r="B331">
        <v>288</v>
      </c>
      <c r="C331">
        <v>6</v>
      </c>
      <c r="D331">
        <v>12500</v>
      </c>
      <c r="E331">
        <v>60</v>
      </c>
      <c r="F331">
        <v>0</v>
      </c>
      <c r="G331">
        <v>75000</v>
      </c>
    </row>
    <row r="332" spans="1:7">
      <c r="A332">
        <v>38</v>
      </c>
      <c r="B332">
        <v>608</v>
      </c>
      <c r="C332">
        <v>16</v>
      </c>
      <c r="D332">
        <v>30000</v>
      </c>
      <c r="E332">
        <v>60</v>
      </c>
      <c r="F332">
        <v>1</v>
      </c>
      <c r="G332">
        <v>480000</v>
      </c>
    </row>
    <row r="333" spans="1:7">
      <c r="A333">
        <v>27</v>
      </c>
      <c r="B333">
        <v>216</v>
      </c>
      <c r="C333">
        <v>8</v>
      </c>
      <c r="D333">
        <v>20000</v>
      </c>
      <c r="E333">
        <v>60</v>
      </c>
      <c r="F333">
        <v>0</v>
      </c>
      <c r="G333">
        <v>160000</v>
      </c>
    </row>
    <row r="334" spans="1:7">
      <c r="A334">
        <v>35</v>
      </c>
      <c r="B334">
        <v>560</v>
      </c>
      <c r="C334">
        <v>16</v>
      </c>
      <c r="D334">
        <v>30000</v>
      </c>
      <c r="E334">
        <v>60</v>
      </c>
      <c r="F334">
        <v>0</v>
      </c>
      <c r="G334">
        <v>480000</v>
      </c>
    </row>
    <row r="335" spans="1:7">
      <c r="A335">
        <v>33</v>
      </c>
      <c r="B335">
        <v>396</v>
      </c>
      <c r="C335">
        <v>12</v>
      </c>
      <c r="D335">
        <v>30000</v>
      </c>
      <c r="E335">
        <v>60</v>
      </c>
      <c r="F335">
        <v>0</v>
      </c>
      <c r="G335">
        <v>360000</v>
      </c>
    </row>
    <row r="336" spans="1:7">
      <c r="A336">
        <v>46</v>
      </c>
      <c r="B336">
        <v>552</v>
      </c>
      <c r="C336">
        <v>12</v>
      </c>
      <c r="D336">
        <v>30000</v>
      </c>
      <c r="E336">
        <v>60</v>
      </c>
      <c r="F336">
        <v>0</v>
      </c>
      <c r="G336">
        <v>360000</v>
      </c>
    </row>
    <row r="337" spans="1:7">
      <c r="A337">
        <v>62</v>
      </c>
      <c r="B337">
        <v>620</v>
      </c>
      <c r="C337">
        <v>10</v>
      </c>
      <c r="D337">
        <v>20000</v>
      </c>
      <c r="E337">
        <v>60</v>
      </c>
      <c r="F337">
        <v>1</v>
      </c>
      <c r="G337">
        <v>200000</v>
      </c>
    </row>
    <row r="338" spans="1:7">
      <c r="A338">
        <v>67</v>
      </c>
      <c r="B338">
        <v>670</v>
      </c>
      <c r="C338">
        <v>10</v>
      </c>
      <c r="D338">
        <v>4500</v>
      </c>
      <c r="E338">
        <v>60</v>
      </c>
      <c r="F338">
        <v>0</v>
      </c>
      <c r="G338">
        <v>45000</v>
      </c>
    </row>
    <row r="339" spans="1:7">
      <c r="A339">
        <v>39</v>
      </c>
      <c r="B339">
        <v>390</v>
      </c>
      <c r="C339">
        <v>10</v>
      </c>
      <c r="D339">
        <v>20000</v>
      </c>
      <c r="E339">
        <v>60</v>
      </c>
      <c r="F339">
        <v>1</v>
      </c>
      <c r="G339">
        <v>200000</v>
      </c>
    </row>
    <row r="340" spans="1:7">
      <c r="A340">
        <v>32</v>
      </c>
      <c r="B340">
        <v>432</v>
      </c>
      <c r="C340">
        <v>13.5</v>
      </c>
      <c r="D340">
        <v>12500</v>
      </c>
      <c r="E340">
        <v>60</v>
      </c>
      <c r="F340">
        <v>0</v>
      </c>
      <c r="G340">
        <v>168750</v>
      </c>
    </row>
    <row r="341" spans="1:7">
      <c r="A341">
        <v>49</v>
      </c>
      <c r="B341">
        <v>661.5</v>
      </c>
      <c r="C341">
        <v>13.5</v>
      </c>
      <c r="D341">
        <v>20000</v>
      </c>
      <c r="E341">
        <v>60</v>
      </c>
      <c r="F341">
        <v>0</v>
      </c>
      <c r="G341">
        <v>270000</v>
      </c>
    </row>
    <row r="342" spans="1:7">
      <c r="A342">
        <v>53</v>
      </c>
      <c r="B342">
        <v>954</v>
      </c>
      <c r="C342">
        <v>18</v>
      </c>
      <c r="D342">
        <v>30000</v>
      </c>
      <c r="E342">
        <v>60</v>
      </c>
      <c r="F342">
        <v>0</v>
      </c>
      <c r="G342">
        <v>540000</v>
      </c>
    </row>
    <row r="343" spans="1:7">
      <c r="A343">
        <v>51</v>
      </c>
      <c r="B343">
        <v>918</v>
      </c>
      <c r="C343">
        <v>18</v>
      </c>
      <c r="D343">
        <v>30000</v>
      </c>
      <c r="E343">
        <v>60</v>
      </c>
      <c r="F343">
        <v>0</v>
      </c>
      <c r="G343">
        <v>540000</v>
      </c>
    </row>
    <row r="344" spans="1:7">
      <c r="A344">
        <v>32</v>
      </c>
      <c r="B344">
        <v>384</v>
      </c>
      <c r="C344">
        <v>12</v>
      </c>
      <c r="D344">
        <v>20000</v>
      </c>
      <c r="E344">
        <v>60</v>
      </c>
      <c r="F344">
        <v>1</v>
      </c>
      <c r="G344">
        <v>240000</v>
      </c>
    </row>
    <row r="345" spans="1:7">
      <c r="A345">
        <v>25</v>
      </c>
      <c r="B345">
        <v>450</v>
      </c>
      <c r="C345">
        <v>18</v>
      </c>
      <c r="D345">
        <v>5500</v>
      </c>
      <c r="E345">
        <v>60</v>
      </c>
      <c r="F345">
        <v>0</v>
      </c>
      <c r="G345">
        <v>99000</v>
      </c>
    </row>
    <row r="346" spans="1:7">
      <c r="A346">
        <v>28</v>
      </c>
      <c r="B346">
        <v>420</v>
      </c>
      <c r="C346">
        <v>15</v>
      </c>
      <c r="D346">
        <v>8500</v>
      </c>
      <c r="E346">
        <v>60</v>
      </c>
      <c r="F346">
        <v>1</v>
      </c>
      <c r="G346">
        <v>127500</v>
      </c>
    </row>
    <row r="347" spans="1:7">
      <c r="A347">
        <v>45</v>
      </c>
      <c r="B347">
        <v>540</v>
      </c>
      <c r="C347">
        <v>12</v>
      </c>
      <c r="D347">
        <v>30000</v>
      </c>
      <c r="E347">
        <v>60</v>
      </c>
      <c r="F347">
        <v>0</v>
      </c>
      <c r="G347">
        <v>360000</v>
      </c>
    </row>
    <row r="348" spans="1:7">
      <c r="A348">
        <v>54</v>
      </c>
      <c r="B348">
        <v>729</v>
      </c>
      <c r="C348">
        <v>13.5</v>
      </c>
      <c r="D348">
        <v>30000</v>
      </c>
      <c r="E348">
        <v>60</v>
      </c>
      <c r="F348">
        <v>0</v>
      </c>
      <c r="G348">
        <v>405000</v>
      </c>
    </row>
    <row r="349" spans="1:7">
      <c r="A349">
        <v>49</v>
      </c>
      <c r="B349">
        <v>588</v>
      </c>
      <c r="C349">
        <v>12</v>
      </c>
      <c r="D349">
        <v>30000</v>
      </c>
      <c r="E349">
        <v>60</v>
      </c>
      <c r="F349">
        <v>1</v>
      </c>
      <c r="G349">
        <v>360000</v>
      </c>
    </row>
    <row r="350" spans="1:7">
      <c r="A350">
        <v>25</v>
      </c>
      <c r="B350">
        <v>300</v>
      </c>
      <c r="C350">
        <v>12</v>
      </c>
      <c r="D350">
        <v>20000</v>
      </c>
      <c r="E350">
        <v>60</v>
      </c>
      <c r="F350">
        <v>0</v>
      </c>
      <c r="G350">
        <v>240000</v>
      </c>
    </row>
    <row r="351" spans="1:7">
      <c r="A351">
        <v>31</v>
      </c>
      <c r="B351">
        <v>372</v>
      </c>
      <c r="C351">
        <v>12</v>
      </c>
      <c r="D351">
        <v>20000</v>
      </c>
      <c r="E351">
        <v>60</v>
      </c>
      <c r="F351">
        <v>1</v>
      </c>
      <c r="G351">
        <v>240000</v>
      </c>
    </row>
    <row r="352" spans="1:7">
      <c r="A352">
        <v>26</v>
      </c>
      <c r="B352">
        <v>351</v>
      </c>
      <c r="C352">
        <v>13.5</v>
      </c>
      <c r="D352">
        <v>20000</v>
      </c>
      <c r="E352">
        <v>60</v>
      </c>
      <c r="F352">
        <v>1</v>
      </c>
      <c r="G352">
        <v>270000</v>
      </c>
    </row>
    <row r="353" spans="1:7">
      <c r="A353">
        <v>27</v>
      </c>
      <c r="B353">
        <v>270</v>
      </c>
      <c r="C353">
        <v>10</v>
      </c>
      <c r="D353">
        <v>8500</v>
      </c>
      <c r="E353">
        <v>60</v>
      </c>
      <c r="F353">
        <v>0</v>
      </c>
      <c r="G353">
        <v>85000</v>
      </c>
    </row>
    <row r="354" spans="1:7">
      <c r="A354">
        <v>58</v>
      </c>
      <c r="B354">
        <v>783</v>
      </c>
      <c r="C354">
        <v>13.5</v>
      </c>
      <c r="D354">
        <v>30000</v>
      </c>
      <c r="E354">
        <v>60</v>
      </c>
      <c r="F354">
        <v>0</v>
      </c>
      <c r="G354">
        <v>405000</v>
      </c>
    </row>
    <row r="355" spans="1:7">
      <c r="A355">
        <v>56</v>
      </c>
      <c r="B355">
        <v>336</v>
      </c>
      <c r="C355">
        <v>6</v>
      </c>
      <c r="D355">
        <v>5500</v>
      </c>
      <c r="E355">
        <v>60</v>
      </c>
      <c r="F355">
        <v>0</v>
      </c>
      <c r="G355">
        <v>33000</v>
      </c>
    </row>
    <row r="356" spans="1:7">
      <c r="A356">
        <v>66</v>
      </c>
      <c r="B356">
        <v>792</v>
      </c>
      <c r="C356">
        <v>12</v>
      </c>
      <c r="D356">
        <v>12500</v>
      </c>
      <c r="E356">
        <v>60</v>
      </c>
      <c r="F356">
        <v>0</v>
      </c>
      <c r="G356">
        <v>150000</v>
      </c>
    </row>
    <row r="357" spans="1:7">
      <c r="A357">
        <v>20</v>
      </c>
      <c r="B357">
        <v>240</v>
      </c>
      <c r="C357">
        <v>12</v>
      </c>
      <c r="D357">
        <v>20000</v>
      </c>
      <c r="E357">
        <v>60</v>
      </c>
      <c r="F357">
        <v>0</v>
      </c>
      <c r="G357">
        <v>240000</v>
      </c>
    </row>
    <row r="358" spans="1:7">
      <c r="A358">
        <v>54</v>
      </c>
      <c r="B358">
        <v>432</v>
      </c>
      <c r="C358">
        <v>8</v>
      </c>
      <c r="D358">
        <v>12500</v>
      </c>
      <c r="E358">
        <v>60</v>
      </c>
      <c r="F358">
        <v>0</v>
      </c>
      <c r="G358">
        <v>100000</v>
      </c>
    </row>
    <row r="359" spans="1:7">
      <c r="A359">
        <v>40</v>
      </c>
      <c r="B359">
        <v>540</v>
      </c>
      <c r="C359">
        <v>13.5</v>
      </c>
      <c r="D359">
        <v>30000</v>
      </c>
      <c r="E359">
        <v>60</v>
      </c>
      <c r="F359">
        <v>0</v>
      </c>
      <c r="G359">
        <v>405000</v>
      </c>
    </row>
    <row r="360" spans="1:7">
      <c r="A360">
        <v>23</v>
      </c>
      <c r="B360">
        <v>230</v>
      </c>
      <c r="C360">
        <v>10</v>
      </c>
      <c r="D360">
        <v>30000</v>
      </c>
      <c r="E360">
        <v>60</v>
      </c>
      <c r="F360">
        <v>1</v>
      </c>
      <c r="G360">
        <v>300000</v>
      </c>
    </row>
    <row r="361" spans="1:7">
      <c r="A361">
        <v>37</v>
      </c>
      <c r="B361">
        <v>0</v>
      </c>
      <c r="C361">
        <v>0</v>
      </c>
      <c r="D361">
        <v>6500</v>
      </c>
      <c r="E361">
        <v>60</v>
      </c>
      <c r="F361">
        <v>1</v>
      </c>
      <c r="G361">
        <v>0</v>
      </c>
    </row>
    <row r="362" spans="1:7">
      <c r="A362">
        <v>23</v>
      </c>
      <c r="B362">
        <v>276</v>
      </c>
      <c r="C362">
        <v>12</v>
      </c>
      <c r="D362">
        <v>30000</v>
      </c>
      <c r="E362">
        <v>60</v>
      </c>
      <c r="F362">
        <v>0</v>
      </c>
      <c r="G362">
        <v>360000</v>
      </c>
    </row>
    <row r="363" spans="1:7">
      <c r="A363">
        <v>28</v>
      </c>
      <c r="B363">
        <v>504</v>
      </c>
      <c r="C363">
        <v>18</v>
      </c>
      <c r="D363">
        <v>30000</v>
      </c>
      <c r="E363">
        <v>60</v>
      </c>
      <c r="F363">
        <v>1</v>
      </c>
      <c r="G363">
        <v>540000</v>
      </c>
    </row>
    <row r="364" spans="1:7">
      <c r="A364">
        <v>40</v>
      </c>
      <c r="B364">
        <v>320</v>
      </c>
      <c r="C364">
        <v>8</v>
      </c>
      <c r="D364">
        <v>30000</v>
      </c>
      <c r="E364">
        <v>60</v>
      </c>
      <c r="F364">
        <v>1</v>
      </c>
      <c r="G364">
        <v>240000</v>
      </c>
    </row>
    <row r="365" spans="1:7">
      <c r="A365">
        <v>59</v>
      </c>
      <c r="B365">
        <v>354</v>
      </c>
      <c r="C365">
        <v>6</v>
      </c>
      <c r="D365">
        <v>3500</v>
      </c>
      <c r="E365">
        <v>60</v>
      </c>
      <c r="F365">
        <v>0</v>
      </c>
      <c r="G365">
        <v>21000</v>
      </c>
    </row>
    <row r="366" spans="1:7">
      <c r="A366">
        <v>71</v>
      </c>
      <c r="B366">
        <v>426</v>
      </c>
      <c r="C366">
        <v>6</v>
      </c>
      <c r="D366">
        <v>30000</v>
      </c>
      <c r="E366">
        <v>60</v>
      </c>
      <c r="F366">
        <v>0</v>
      </c>
      <c r="G366">
        <v>180000</v>
      </c>
    </row>
    <row r="367" spans="1:7">
      <c r="A367">
        <v>47</v>
      </c>
      <c r="B367">
        <v>564</v>
      </c>
      <c r="C367">
        <v>12</v>
      </c>
      <c r="D367">
        <v>30000</v>
      </c>
      <c r="E367">
        <v>60</v>
      </c>
      <c r="F367">
        <v>1</v>
      </c>
      <c r="G367">
        <v>360000</v>
      </c>
    </row>
    <row r="368" spans="1:7">
      <c r="A368">
        <v>58</v>
      </c>
      <c r="B368">
        <v>783</v>
      </c>
      <c r="C368">
        <v>13.5</v>
      </c>
      <c r="D368">
        <v>20000</v>
      </c>
      <c r="E368">
        <v>60</v>
      </c>
      <c r="F368">
        <v>1</v>
      </c>
      <c r="G368">
        <v>270000</v>
      </c>
    </row>
    <row r="369" spans="1:7">
      <c r="A369">
        <v>56</v>
      </c>
      <c r="B369">
        <v>560</v>
      </c>
      <c r="C369">
        <v>10</v>
      </c>
      <c r="D369">
        <v>30000</v>
      </c>
      <c r="E369">
        <v>60</v>
      </c>
      <c r="F369">
        <v>1</v>
      </c>
      <c r="G369">
        <v>300000</v>
      </c>
    </row>
    <row r="370" spans="1:7">
      <c r="A370">
        <v>33</v>
      </c>
      <c r="B370">
        <v>594</v>
      </c>
      <c r="C370">
        <v>18</v>
      </c>
      <c r="D370">
        <v>30000</v>
      </c>
      <c r="E370">
        <v>60</v>
      </c>
      <c r="F370">
        <v>0</v>
      </c>
      <c r="G370">
        <v>540000</v>
      </c>
    </row>
    <row r="371" spans="1:7">
      <c r="A371">
        <v>25</v>
      </c>
      <c r="B371">
        <v>400</v>
      </c>
      <c r="C371">
        <v>16</v>
      </c>
      <c r="D371">
        <v>30000</v>
      </c>
      <c r="E371">
        <v>60</v>
      </c>
      <c r="F371">
        <v>0</v>
      </c>
      <c r="G371">
        <v>480000</v>
      </c>
    </row>
    <row r="372" spans="1:7">
      <c r="A372">
        <v>57</v>
      </c>
      <c r="B372">
        <v>684</v>
      </c>
      <c r="C372">
        <v>12</v>
      </c>
      <c r="D372">
        <v>8500</v>
      </c>
      <c r="E372">
        <v>60</v>
      </c>
      <c r="F372">
        <v>1</v>
      </c>
      <c r="G372">
        <v>102000</v>
      </c>
    </row>
    <row r="373" spans="1:7">
      <c r="A373">
        <v>37</v>
      </c>
      <c r="B373">
        <v>666</v>
      </c>
      <c r="C373">
        <v>18</v>
      </c>
      <c r="D373">
        <v>30000</v>
      </c>
      <c r="E373">
        <v>60</v>
      </c>
      <c r="F373">
        <v>0</v>
      </c>
      <c r="G373">
        <v>540000</v>
      </c>
    </row>
    <row r="374" spans="1:7">
      <c r="A374">
        <v>36</v>
      </c>
      <c r="B374">
        <v>432</v>
      </c>
      <c r="C374">
        <v>12</v>
      </c>
      <c r="D374">
        <v>30000</v>
      </c>
      <c r="E374">
        <v>60</v>
      </c>
      <c r="F374">
        <v>0</v>
      </c>
      <c r="G374">
        <v>360000</v>
      </c>
    </row>
    <row r="375" spans="1:7">
      <c r="A375">
        <v>44</v>
      </c>
      <c r="B375">
        <v>594</v>
      </c>
      <c r="C375">
        <v>13.5</v>
      </c>
      <c r="D375">
        <v>30000</v>
      </c>
      <c r="E375">
        <v>60</v>
      </c>
      <c r="F375">
        <v>0</v>
      </c>
      <c r="G375">
        <v>405000</v>
      </c>
    </row>
    <row r="376" spans="1:7">
      <c r="A376">
        <v>49</v>
      </c>
      <c r="B376">
        <v>735</v>
      </c>
      <c r="C376">
        <v>15</v>
      </c>
      <c r="D376">
        <v>20000</v>
      </c>
      <c r="E376">
        <v>60</v>
      </c>
      <c r="F376">
        <v>0</v>
      </c>
      <c r="G376">
        <v>300000</v>
      </c>
    </row>
    <row r="377" spans="1:7">
      <c r="A377">
        <v>23</v>
      </c>
      <c r="B377">
        <v>276</v>
      </c>
      <c r="C377">
        <v>12</v>
      </c>
      <c r="D377">
        <v>6500</v>
      </c>
      <c r="E377">
        <v>60</v>
      </c>
      <c r="F377">
        <v>0</v>
      </c>
      <c r="G377">
        <v>78000</v>
      </c>
    </row>
    <row r="378" spans="1:7">
      <c r="A378">
        <v>50</v>
      </c>
      <c r="B378">
        <v>800</v>
      </c>
      <c r="C378">
        <v>16</v>
      </c>
      <c r="D378">
        <v>30000</v>
      </c>
      <c r="E378">
        <v>60</v>
      </c>
      <c r="F378">
        <v>0</v>
      </c>
      <c r="G378">
        <v>480000</v>
      </c>
    </row>
    <row r="379" spans="1:7">
      <c r="A379">
        <v>43</v>
      </c>
      <c r="B379">
        <v>344</v>
      </c>
      <c r="C379">
        <v>8</v>
      </c>
      <c r="D379">
        <v>20000</v>
      </c>
      <c r="E379">
        <v>60</v>
      </c>
      <c r="F379">
        <v>1</v>
      </c>
      <c r="G379">
        <v>160000</v>
      </c>
    </row>
    <row r="380" spans="1:7">
      <c r="A380">
        <v>78</v>
      </c>
      <c r="B380">
        <v>624</v>
      </c>
      <c r="C380">
        <v>8</v>
      </c>
      <c r="D380">
        <v>30000</v>
      </c>
      <c r="E380">
        <v>60</v>
      </c>
      <c r="F380">
        <v>0</v>
      </c>
      <c r="G380">
        <v>240000</v>
      </c>
    </row>
    <row r="381" spans="1:7">
      <c r="A381">
        <v>66</v>
      </c>
      <c r="B381">
        <v>792</v>
      </c>
      <c r="C381">
        <v>12</v>
      </c>
      <c r="D381">
        <v>8500</v>
      </c>
      <c r="E381">
        <v>60</v>
      </c>
      <c r="F381">
        <v>0</v>
      </c>
      <c r="G381">
        <v>102000</v>
      </c>
    </row>
    <row r="382" spans="1:7">
      <c r="A382">
        <v>39</v>
      </c>
      <c r="B382">
        <v>468</v>
      </c>
      <c r="C382">
        <v>12</v>
      </c>
      <c r="D382">
        <v>20000</v>
      </c>
      <c r="E382">
        <v>60</v>
      </c>
      <c r="F382">
        <v>0</v>
      </c>
      <c r="G382">
        <v>240000</v>
      </c>
    </row>
    <row r="383" spans="1:7">
      <c r="A383">
        <v>48</v>
      </c>
      <c r="B383">
        <v>576</v>
      </c>
      <c r="C383">
        <v>12</v>
      </c>
      <c r="D383">
        <v>30000</v>
      </c>
      <c r="E383">
        <v>60</v>
      </c>
      <c r="F383">
        <v>0</v>
      </c>
      <c r="G383">
        <v>360000</v>
      </c>
    </row>
    <row r="384" spans="1:7">
      <c r="A384">
        <v>30</v>
      </c>
      <c r="B384">
        <v>480</v>
      </c>
      <c r="C384">
        <v>16</v>
      </c>
      <c r="D384">
        <v>30000</v>
      </c>
      <c r="E384">
        <v>60</v>
      </c>
      <c r="F384">
        <v>0</v>
      </c>
      <c r="G384">
        <v>480000</v>
      </c>
    </row>
    <row r="385" spans="1:7">
      <c r="A385">
        <v>32</v>
      </c>
      <c r="B385">
        <v>512</v>
      </c>
      <c r="C385">
        <v>16</v>
      </c>
      <c r="D385">
        <v>30000</v>
      </c>
      <c r="E385">
        <v>60</v>
      </c>
      <c r="F385">
        <v>0</v>
      </c>
      <c r="G385">
        <v>480000</v>
      </c>
    </row>
    <row r="386" spans="1:7">
      <c r="A386">
        <v>65</v>
      </c>
      <c r="B386">
        <v>650</v>
      </c>
      <c r="C386">
        <v>10</v>
      </c>
      <c r="D386">
        <v>20000</v>
      </c>
      <c r="E386">
        <v>60</v>
      </c>
      <c r="F386">
        <v>0</v>
      </c>
      <c r="G386">
        <v>200000</v>
      </c>
    </row>
    <row r="387" spans="1:7">
      <c r="A387">
        <v>36</v>
      </c>
      <c r="B387">
        <v>486</v>
      </c>
      <c r="C387">
        <v>13.5</v>
      </c>
      <c r="D387">
        <v>30000</v>
      </c>
      <c r="E387">
        <v>60</v>
      </c>
      <c r="F387">
        <v>1</v>
      </c>
      <c r="G387">
        <v>405000</v>
      </c>
    </row>
    <row r="388" spans="1:7">
      <c r="A388">
        <v>83</v>
      </c>
      <c r="B388">
        <v>830</v>
      </c>
      <c r="C388">
        <v>10</v>
      </c>
      <c r="D388">
        <v>5500</v>
      </c>
      <c r="E388">
        <v>60</v>
      </c>
      <c r="F388">
        <v>0</v>
      </c>
      <c r="G388">
        <v>55000</v>
      </c>
    </row>
    <row r="389" spans="1:7">
      <c r="A389">
        <v>61</v>
      </c>
      <c r="B389">
        <v>976</v>
      </c>
      <c r="C389">
        <v>16</v>
      </c>
      <c r="D389">
        <v>30000</v>
      </c>
      <c r="E389">
        <v>60</v>
      </c>
      <c r="F389">
        <v>0</v>
      </c>
      <c r="G389">
        <v>480000</v>
      </c>
    </row>
    <row r="390" spans="1:7">
      <c r="A390">
        <v>47</v>
      </c>
      <c r="B390">
        <v>564</v>
      </c>
      <c r="C390">
        <v>12</v>
      </c>
      <c r="D390">
        <v>30000</v>
      </c>
      <c r="E390">
        <v>60</v>
      </c>
      <c r="F390">
        <v>0</v>
      </c>
      <c r="G390">
        <v>360000</v>
      </c>
    </row>
    <row r="391" spans="1:7">
      <c r="A391">
        <v>26</v>
      </c>
      <c r="B391">
        <v>416</v>
      </c>
      <c r="C391">
        <v>16</v>
      </c>
      <c r="D391">
        <v>20000</v>
      </c>
      <c r="E391">
        <v>60</v>
      </c>
      <c r="F391">
        <v>1</v>
      </c>
      <c r="G391">
        <v>320000</v>
      </c>
    </row>
    <row r="392" spans="1:7">
      <c r="A392">
        <v>29</v>
      </c>
      <c r="B392">
        <v>464</v>
      </c>
      <c r="C392">
        <v>16</v>
      </c>
      <c r="D392">
        <v>20000</v>
      </c>
      <c r="E392">
        <v>60</v>
      </c>
      <c r="F392">
        <v>1</v>
      </c>
      <c r="G392">
        <v>320000</v>
      </c>
    </row>
    <row r="393" spans="1:7">
      <c r="A393">
        <v>61</v>
      </c>
      <c r="B393">
        <v>732</v>
      </c>
      <c r="C393">
        <v>12</v>
      </c>
      <c r="D393">
        <v>30000</v>
      </c>
      <c r="E393">
        <v>60</v>
      </c>
      <c r="F393">
        <v>0</v>
      </c>
      <c r="G393">
        <v>360000</v>
      </c>
    </row>
    <row r="394" spans="1:7">
      <c r="A394">
        <v>17</v>
      </c>
      <c r="B394">
        <v>170</v>
      </c>
      <c r="C394">
        <v>10</v>
      </c>
      <c r="D394">
        <v>20000</v>
      </c>
      <c r="E394">
        <v>60</v>
      </c>
      <c r="F394">
        <v>0</v>
      </c>
      <c r="G394">
        <v>200000</v>
      </c>
    </row>
    <row r="395" spans="1:7">
      <c r="A395">
        <v>26</v>
      </c>
      <c r="B395">
        <v>416</v>
      </c>
      <c r="C395">
        <v>16</v>
      </c>
      <c r="D395">
        <v>30000</v>
      </c>
      <c r="E395">
        <v>60</v>
      </c>
      <c r="F395">
        <v>0</v>
      </c>
      <c r="G395">
        <v>480000</v>
      </c>
    </row>
    <row r="396" spans="1:7">
      <c r="A396">
        <v>17</v>
      </c>
      <c r="B396">
        <v>170</v>
      </c>
      <c r="C396">
        <v>10</v>
      </c>
      <c r="D396">
        <v>20000</v>
      </c>
      <c r="E396">
        <v>53.7</v>
      </c>
      <c r="F396">
        <v>0</v>
      </c>
      <c r="G396">
        <v>200000</v>
      </c>
    </row>
    <row r="397" spans="1:7">
      <c r="A397">
        <v>37</v>
      </c>
      <c r="B397">
        <v>666</v>
      </c>
      <c r="C397">
        <v>18</v>
      </c>
      <c r="D397">
        <v>30000</v>
      </c>
      <c r="E397">
        <v>53.7</v>
      </c>
      <c r="F397">
        <v>1</v>
      </c>
      <c r="G397">
        <v>540000</v>
      </c>
    </row>
    <row r="398" spans="1:7">
      <c r="A398">
        <v>48</v>
      </c>
      <c r="B398">
        <v>576</v>
      </c>
      <c r="C398">
        <v>12</v>
      </c>
      <c r="D398">
        <v>30000</v>
      </c>
      <c r="E398">
        <v>53.7</v>
      </c>
      <c r="F398">
        <v>1</v>
      </c>
      <c r="G398">
        <v>360000</v>
      </c>
    </row>
    <row r="399" spans="1:7">
      <c r="A399">
        <v>50</v>
      </c>
      <c r="B399">
        <v>600</v>
      </c>
      <c r="C399">
        <v>12</v>
      </c>
      <c r="D399">
        <v>20000</v>
      </c>
      <c r="E399">
        <v>53.7</v>
      </c>
      <c r="F399">
        <v>0</v>
      </c>
      <c r="G399">
        <v>240000</v>
      </c>
    </row>
    <row r="400" spans="1:7">
      <c r="A400">
        <v>59</v>
      </c>
      <c r="B400">
        <v>708</v>
      </c>
      <c r="C400">
        <v>12</v>
      </c>
      <c r="D400">
        <v>20000</v>
      </c>
      <c r="E400">
        <v>53.7</v>
      </c>
      <c r="F400">
        <v>0</v>
      </c>
      <c r="G400">
        <v>240000</v>
      </c>
    </row>
    <row r="401" spans="1:7">
      <c r="A401">
        <v>48</v>
      </c>
      <c r="B401">
        <v>768</v>
      </c>
      <c r="C401">
        <v>16</v>
      </c>
      <c r="D401">
        <v>30000</v>
      </c>
      <c r="E401">
        <v>53.7</v>
      </c>
      <c r="F401">
        <v>0</v>
      </c>
      <c r="G401">
        <v>480000</v>
      </c>
    </row>
    <row r="402" spans="1:7">
      <c r="A402">
        <v>43</v>
      </c>
      <c r="B402">
        <v>516</v>
      </c>
      <c r="C402">
        <v>12</v>
      </c>
      <c r="D402">
        <v>12500</v>
      </c>
      <c r="E402">
        <v>53.7</v>
      </c>
      <c r="F402">
        <v>0</v>
      </c>
      <c r="G402">
        <v>150000</v>
      </c>
    </row>
    <row r="403" spans="1:7">
      <c r="A403">
        <v>41</v>
      </c>
      <c r="B403">
        <v>553.5</v>
      </c>
      <c r="C403">
        <v>13.5</v>
      </c>
      <c r="D403">
        <v>30000</v>
      </c>
      <c r="E403">
        <v>53.7</v>
      </c>
      <c r="F403">
        <v>1</v>
      </c>
      <c r="G403">
        <v>405000</v>
      </c>
    </row>
    <row r="404" spans="1:7">
      <c r="A404">
        <v>64</v>
      </c>
      <c r="B404">
        <v>768</v>
      </c>
      <c r="C404">
        <v>12</v>
      </c>
      <c r="D404">
        <v>8500</v>
      </c>
      <c r="E404">
        <v>53.7</v>
      </c>
      <c r="F404">
        <v>0</v>
      </c>
      <c r="G404">
        <v>102000</v>
      </c>
    </row>
    <row r="405" spans="1:7">
      <c r="A405">
        <v>19</v>
      </c>
      <c r="B405">
        <v>228</v>
      </c>
      <c r="C405">
        <v>12</v>
      </c>
      <c r="D405">
        <v>5500</v>
      </c>
      <c r="E405">
        <v>53.7</v>
      </c>
      <c r="F405">
        <v>0</v>
      </c>
      <c r="G405">
        <v>66000</v>
      </c>
    </row>
    <row r="406" spans="1:7">
      <c r="A406">
        <v>43</v>
      </c>
      <c r="B406">
        <v>774</v>
      </c>
      <c r="C406">
        <v>18</v>
      </c>
      <c r="D406">
        <v>30000</v>
      </c>
      <c r="E406">
        <v>53.7</v>
      </c>
      <c r="F406">
        <v>0</v>
      </c>
      <c r="G406">
        <v>540000</v>
      </c>
    </row>
    <row r="407" spans="1:7">
      <c r="A407">
        <v>64</v>
      </c>
      <c r="B407">
        <v>512</v>
      </c>
      <c r="C407">
        <v>8</v>
      </c>
      <c r="D407">
        <v>20000</v>
      </c>
      <c r="E407">
        <v>53.7</v>
      </c>
      <c r="F407">
        <v>0</v>
      </c>
      <c r="G407">
        <v>160000</v>
      </c>
    </row>
    <row r="408" spans="1:7">
      <c r="A408">
        <v>51</v>
      </c>
      <c r="B408">
        <v>510</v>
      </c>
      <c r="C408">
        <v>10</v>
      </c>
      <c r="D408">
        <v>30000</v>
      </c>
      <c r="E408">
        <v>53.7</v>
      </c>
      <c r="F408">
        <v>0</v>
      </c>
      <c r="G408">
        <v>300000</v>
      </c>
    </row>
    <row r="409" spans="1:7">
      <c r="A409">
        <v>19</v>
      </c>
      <c r="B409">
        <v>152</v>
      </c>
      <c r="C409">
        <v>8</v>
      </c>
      <c r="D409">
        <v>5500</v>
      </c>
      <c r="E409">
        <v>53.7</v>
      </c>
      <c r="F409">
        <v>1</v>
      </c>
      <c r="G409">
        <v>44000</v>
      </c>
    </row>
    <row r="410" spans="1:7">
      <c r="A410">
        <v>34</v>
      </c>
      <c r="B410">
        <v>612</v>
      </c>
      <c r="C410">
        <v>18</v>
      </c>
      <c r="D410">
        <v>30000</v>
      </c>
      <c r="E410">
        <v>53.7</v>
      </c>
      <c r="F410">
        <v>0</v>
      </c>
      <c r="G410">
        <v>540000</v>
      </c>
    </row>
    <row r="411" spans="1:7">
      <c r="A411">
        <v>18</v>
      </c>
      <c r="B411">
        <v>180</v>
      </c>
      <c r="C411">
        <v>10</v>
      </c>
      <c r="D411">
        <v>20000</v>
      </c>
      <c r="E411">
        <v>53.7</v>
      </c>
      <c r="F411">
        <v>0</v>
      </c>
      <c r="G411">
        <v>200000</v>
      </c>
    </row>
    <row r="412" spans="1:7">
      <c r="A412">
        <v>46</v>
      </c>
      <c r="B412">
        <v>460</v>
      </c>
      <c r="C412">
        <v>10</v>
      </c>
      <c r="D412">
        <v>20000</v>
      </c>
      <c r="E412">
        <v>53.7</v>
      </c>
      <c r="F412">
        <v>0</v>
      </c>
      <c r="G412">
        <v>200000</v>
      </c>
    </row>
    <row r="413" spans="1:7">
      <c r="A413">
        <v>38</v>
      </c>
      <c r="B413">
        <v>684</v>
      </c>
      <c r="C413">
        <v>18</v>
      </c>
      <c r="D413">
        <v>30000</v>
      </c>
      <c r="E413">
        <v>53.7</v>
      </c>
      <c r="F413">
        <v>0</v>
      </c>
      <c r="G413">
        <v>540000</v>
      </c>
    </row>
    <row r="414" spans="1:7">
      <c r="A414">
        <v>51</v>
      </c>
      <c r="B414">
        <v>510</v>
      </c>
      <c r="C414">
        <v>10</v>
      </c>
      <c r="D414">
        <v>30000</v>
      </c>
      <c r="E414">
        <v>53.7</v>
      </c>
      <c r="F414">
        <v>1</v>
      </c>
      <c r="G414">
        <v>300000</v>
      </c>
    </row>
    <row r="415" spans="1:7">
      <c r="A415">
        <v>36</v>
      </c>
      <c r="B415">
        <v>486</v>
      </c>
      <c r="C415">
        <v>13.5</v>
      </c>
      <c r="D415">
        <v>8500</v>
      </c>
      <c r="E415">
        <v>53.7</v>
      </c>
      <c r="F415">
        <v>1</v>
      </c>
      <c r="G415">
        <v>114750</v>
      </c>
    </row>
    <row r="416" spans="1:7">
      <c r="A416">
        <v>22</v>
      </c>
      <c r="B416">
        <v>264</v>
      </c>
      <c r="C416">
        <v>12</v>
      </c>
      <c r="D416">
        <v>3500</v>
      </c>
      <c r="E416">
        <v>53.7</v>
      </c>
      <c r="F416">
        <v>1</v>
      </c>
      <c r="G416">
        <v>42000</v>
      </c>
    </row>
    <row r="417" spans="1:7">
      <c r="A417">
        <v>68</v>
      </c>
      <c r="B417">
        <v>816</v>
      </c>
      <c r="C417">
        <v>12</v>
      </c>
      <c r="D417">
        <v>12500</v>
      </c>
      <c r="E417">
        <v>53.7</v>
      </c>
      <c r="F417">
        <v>1</v>
      </c>
      <c r="G417">
        <v>150000</v>
      </c>
    </row>
    <row r="418" spans="1:7">
      <c r="A418">
        <v>19</v>
      </c>
      <c r="B418">
        <v>256.5</v>
      </c>
      <c r="C418">
        <v>13.5</v>
      </c>
      <c r="D418">
        <v>3500</v>
      </c>
      <c r="E418">
        <v>53.7</v>
      </c>
      <c r="F418">
        <v>0</v>
      </c>
      <c r="G418">
        <v>47250</v>
      </c>
    </row>
    <row r="419" spans="1:7">
      <c r="A419">
        <v>39</v>
      </c>
      <c r="B419">
        <v>702</v>
      </c>
      <c r="C419">
        <v>18</v>
      </c>
      <c r="D419">
        <v>20000</v>
      </c>
      <c r="E419">
        <v>53.7</v>
      </c>
      <c r="F419">
        <v>0</v>
      </c>
      <c r="G419">
        <v>360000</v>
      </c>
    </row>
    <row r="420" spans="1:7">
      <c r="A420">
        <v>32</v>
      </c>
      <c r="B420">
        <v>480</v>
      </c>
      <c r="C420">
        <v>15</v>
      </c>
      <c r="D420">
        <v>20000</v>
      </c>
      <c r="E420">
        <v>53.7</v>
      </c>
      <c r="F420">
        <v>1</v>
      </c>
      <c r="G420">
        <v>300000</v>
      </c>
    </row>
    <row r="421" spans="1:7">
      <c r="A421">
        <v>19</v>
      </c>
      <c r="B421">
        <v>228</v>
      </c>
      <c r="C421">
        <v>12</v>
      </c>
      <c r="D421">
        <v>30000</v>
      </c>
      <c r="E421">
        <v>53.7</v>
      </c>
      <c r="F421">
        <v>0</v>
      </c>
      <c r="G421">
        <v>360000</v>
      </c>
    </row>
    <row r="422" spans="1:7">
      <c r="A422">
        <v>65</v>
      </c>
      <c r="B422">
        <v>520</v>
      </c>
      <c r="C422">
        <v>8</v>
      </c>
      <c r="D422">
        <v>20000</v>
      </c>
      <c r="E422">
        <v>53.7</v>
      </c>
      <c r="F422">
        <v>1</v>
      </c>
      <c r="G422">
        <v>160000</v>
      </c>
    </row>
    <row r="423" spans="1:7">
      <c r="A423">
        <v>49</v>
      </c>
      <c r="B423">
        <v>735</v>
      </c>
      <c r="C423">
        <v>15</v>
      </c>
      <c r="D423">
        <v>20000</v>
      </c>
      <c r="E423">
        <v>53.7</v>
      </c>
      <c r="F423">
        <v>0</v>
      </c>
      <c r="G423">
        <v>300000</v>
      </c>
    </row>
    <row r="424" spans="1:7">
      <c r="A424">
        <v>50</v>
      </c>
      <c r="B424">
        <v>600</v>
      </c>
      <c r="C424">
        <v>12</v>
      </c>
      <c r="D424">
        <v>12500</v>
      </c>
      <c r="E424">
        <v>53.7</v>
      </c>
      <c r="F424">
        <v>0</v>
      </c>
      <c r="G424">
        <v>150000</v>
      </c>
    </row>
    <row r="425" spans="1:7">
      <c r="A425">
        <v>62</v>
      </c>
      <c r="B425">
        <v>155</v>
      </c>
      <c r="C425">
        <v>2.5</v>
      </c>
      <c r="D425">
        <v>4500</v>
      </c>
      <c r="E425">
        <v>53.7</v>
      </c>
      <c r="F425">
        <v>0</v>
      </c>
      <c r="G425">
        <v>11250</v>
      </c>
    </row>
    <row r="426" spans="1:7">
      <c r="A426">
        <v>54</v>
      </c>
      <c r="B426">
        <v>648</v>
      </c>
      <c r="C426">
        <v>12</v>
      </c>
      <c r="D426">
        <v>30000</v>
      </c>
      <c r="E426">
        <v>53.7</v>
      </c>
      <c r="F426">
        <v>0</v>
      </c>
      <c r="G426">
        <v>360000</v>
      </c>
    </row>
    <row r="427" spans="1:7">
      <c r="A427">
        <v>24</v>
      </c>
      <c r="B427">
        <v>288</v>
      </c>
      <c r="C427">
        <v>12</v>
      </c>
      <c r="D427">
        <v>20000</v>
      </c>
      <c r="E427">
        <v>58.8</v>
      </c>
      <c r="F427">
        <v>1</v>
      </c>
      <c r="G427">
        <v>240000</v>
      </c>
    </row>
    <row r="428" spans="1:7">
      <c r="A428">
        <v>59</v>
      </c>
      <c r="B428">
        <v>708</v>
      </c>
      <c r="C428">
        <v>12</v>
      </c>
      <c r="D428">
        <v>30000</v>
      </c>
      <c r="E428">
        <v>58.8</v>
      </c>
      <c r="F428">
        <v>1</v>
      </c>
      <c r="G428">
        <v>360000</v>
      </c>
    </row>
    <row r="429" spans="1:7">
      <c r="A429">
        <v>69</v>
      </c>
      <c r="B429">
        <v>552</v>
      </c>
      <c r="C429">
        <v>8</v>
      </c>
      <c r="D429">
        <v>8500</v>
      </c>
      <c r="E429">
        <v>58.8</v>
      </c>
      <c r="F429">
        <v>0</v>
      </c>
      <c r="G429">
        <v>68000</v>
      </c>
    </row>
    <row r="430" spans="1:7">
      <c r="A430">
        <v>43</v>
      </c>
      <c r="B430">
        <v>516</v>
      </c>
      <c r="C430">
        <v>12</v>
      </c>
      <c r="D430">
        <v>20000</v>
      </c>
      <c r="E430">
        <v>58.8</v>
      </c>
      <c r="F430">
        <v>1</v>
      </c>
      <c r="G430">
        <v>240000</v>
      </c>
    </row>
    <row r="431" spans="1:7">
      <c r="A431">
        <v>71</v>
      </c>
      <c r="B431">
        <v>177.5</v>
      </c>
      <c r="C431">
        <v>2.5</v>
      </c>
      <c r="D431">
        <v>3500</v>
      </c>
      <c r="E431">
        <v>58.8</v>
      </c>
      <c r="F431">
        <v>0</v>
      </c>
      <c r="G431">
        <v>8750</v>
      </c>
    </row>
    <row r="432" spans="1:7">
      <c r="A432">
        <v>17</v>
      </c>
      <c r="B432">
        <v>170</v>
      </c>
      <c r="C432">
        <v>10</v>
      </c>
      <c r="D432">
        <v>30000</v>
      </c>
      <c r="E432">
        <v>58.8</v>
      </c>
      <c r="F432">
        <v>0</v>
      </c>
      <c r="G432">
        <v>300000</v>
      </c>
    </row>
    <row r="433" spans="1:7">
      <c r="A433">
        <v>27</v>
      </c>
      <c r="B433">
        <v>432</v>
      </c>
      <c r="C433">
        <v>16</v>
      </c>
      <c r="D433">
        <v>20000</v>
      </c>
      <c r="E433">
        <v>58.8</v>
      </c>
      <c r="F433">
        <v>0</v>
      </c>
      <c r="G433">
        <v>320000</v>
      </c>
    </row>
    <row r="434" spans="1:7">
      <c r="A434">
        <v>69</v>
      </c>
      <c r="B434">
        <v>552</v>
      </c>
      <c r="C434">
        <v>8</v>
      </c>
      <c r="D434">
        <v>8500</v>
      </c>
      <c r="E434">
        <v>58.8</v>
      </c>
      <c r="F434">
        <v>0</v>
      </c>
      <c r="G434">
        <v>68000</v>
      </c>
    </row>
    <row r="435" spans="1:7">
      <c r="A435">
        <v>35</v>
      </c>
      <c r="B435">
        <v>630</v>
      </c>
      <c r="C435">
        <v>18</v>
      </c>
      <c r="D435">
        <v>30000</v>
      </c>
      <c r="E435">
        <v>58.8</v>
      </c>
      <c r="F435">
        <v>0</v>
      </c>
      <c r="G435">
        <v>540000</v>
      </c>
    </row>
    <row r="436" spans="1:7">
      <c r="A436">
        <v>46</v>
      </c>
      <c r="B436">
        <v>552</v>
      </c>
      <c r="C436">
        <v>12</v>
      </c>
      <c r="D436">
        <v>12500</v>
      </c>
      <c r="E436">
        <v>58.3</v>
      </c>
      <c r="F436">
        <v>0</v>
      </c>
      <c r="G436">
        <v>150000</v>
      </c>
    </row>
    <row r="437" spans="1:7">
      <c r="A437">
        <v>20</v>
      </c>
      <c r="B437">
        <v>240</v>
      </c>
      <c r="C437">
        <v>12</v>
      </c>
      <c r="D437">
        <v>30000</v>
      </c>
      <c r="E437">
        <v>58.3</v>
      </c>
      <c r="F437">
        <v>0</v>
      </c>
      <c r="G437">
        <v>360000</v>
      </c>
    </row>
    <row r="438" spans="1:7">
      <c r="A438">
        <v>44</v>
      </c>
      <c r="B438">
        <v>792</v>
      </c>
      <c r="C438">
        <v>18</v>
      </c>
      <c r="D438">
        <v>30000</v>
      </c>
      <c r="E438">
        <v>58.3</v>
      </c>
      <c r="F438">
        <v>0</v>
      </c>
      <c r="G438">
        <v>540000</v>
      </c>
    </row>
    <row r="439" spans="1:7">
      <c r="A439">
        <v>51</v>
      </c>
      <c r="B439">
        <v>688.5</v>
      </c>
      <c r="C439">
        <v>13.5</v>
      </c>
      <c r="D439">
        <v>20000</v>
      </c>
      <c r="E439">
        <v>58.3</v>
      </c>
      <c r="F439">
        <v>1</v>
      </c>
      <c r="G439">
        <v>270000</v>
      </c>
    </row>
    <row r="440" spans="1:7">
      <c r="A440">
        <v>37</v>
      </c>
      <c r="B440">
        <v>444</v>
      </c>
      <c r="C440">
        <v>12</v>
      </c>
      <c r="D440">
        <v>30000</v>
      </c>
      <c r="E440">
        <v>58.3</v>
      </c>
      <c r="F440">
        <v>1</v>
      </c>
      <c r="G440">
        <v>360000</v>
      </c>
    </row>
    <row r="441" spans="1:7">
      <c r="A441">
        <v>28</v>
      </c>
      <c r="B441">
        <v>336</v>
      </c>
      <c r="C441">
        <v>12</v>
      </c>
      <c r="D441">
        <v>20000</v>
      </c>
      <c r="E441">
        <v>58.3</v>
      </c>
      <c r="F441">
        <v>0</v>
      </c>
      <c r="G441">
        <v>240000</v>
      </c>
    </row>
    <row r="442" spans="1:7">
      <c r="A442">
        <v>18</v>
      </c>
      <c r="B442">
        <v>216</v>
      </c>
      <c r="C442">
        <v>12</v>
      </c>
      <c r="D442">
        <v>8500</v>
      </c>
      <c r="E442">
        <v>58.3</v>
      </c>
      <c r="F442">
        <v>1</v>
      </c>
      <c r="G442">
        <v>102000</v>
      </c>
    </row>
    <row r="443" spans="1:7">
      <c r="A443">
        <v>40</v>
      </c>
      <c r="B443">
        <v>320</v>
      </c>
      <c r="C443">
        <v>8</v>
      </c>
      <c r="D443">
        <v>12500</v>
      </c>
      <c r="E443">
        <v>58.3</v>
      </c>
      <c r="F443">
        <v>1</v>
      </c>
      <c r="G443">
        <v>100000</v>
      </c>
    </row>
    <row r="444" spans="1:7">
      <c r="A444">
        <v>28</v>
      </c>
      <c r="B444">
        <v>336</v>
      </c>
      <c r="C444">
        <v>12</v>
      </c>
      <c r="D444">
        <v>20000</v>
      </c>
      <c r="E444">
        <v>58.3</v>
      </c>
      <c r="F444">
        <v>1</v>
      </c>
      <c r="G444">
        <v>240000</v>
      </c>
    </row>
    <row r="445" spans="1:7">
      <c r="A445">
        <v>35</v>
      </c>
      <c r="B445">
        <v>420</v>
      </c>
      <c r="C445">
        <v>12</v>
      </c>
      <c r="D445">
        <v>12500</v>
      </c>
      <c r="E445">
        <v>58.3</v>
      </c>
      <c r="F445">
        <v>1</v>
      </c>
      <c r="G445">
        <v>150000</v>
      </c>
    </row>
    <row r="446" spans="1:7">
      <c r="A446">
        <v>21</v>
      </c>
      <c r="B446">
        <v>283.5</v>
      </c>
      <c r="C446">
        <v>13.5</v>
      </c>
      <c r="D446">
        <v>30000</v>
      </c>
      <c r="E446">
        <v>46.3</v>
      </c>
      <c r="F446">
        <v>1</v>
      </c>
      <c r="G446">
        <v>405000</v>
      </c>
    </row>
    <row r="447" spans="1:7">
      <c r="A447">
        <v>35</v>
      </c>
      <c r="B447">
        <v>420</v>
      </c>
      <c r="C447">
        <v>12</v>
      </c>
      <c r="D447">
        <v>20000</v>
      </c>
      <c r="E447">
        <v>46.3</v>
      </c>
      <c r="F447">
        <v>0</v>
      </c>
      <c r="G447">
        <v>240000</v>
      </c>
    </row>
    <row r="448" spans="1:7">
      <c r="A448">
        <v>24</v>
      </c>
      <c r="B448">
        <v>324</v>
      </c>
      <c r="C448">
        <v>13.5</v>
      </c>
      <c r="D448">
        <v>30000</v>
      </c>
      <c r="E448">
        <v>46.3</v>
      </c>
      <c r="F448">
        <v>1</v>
      </c>
      <c r="G448">
        <v>405000</v>
      </c>
    </row>
    <row r="449" spans="1:7">
      <c r="A449">
        <v>37</v>
      </c>
      <c r="B449">
        <v>666</v>
      </c>
      <c r="C449">
        <v>18</v>
      </c>
      <c r="D449">
        <v>30000</v>
      </c>
      <c r="E449">
        <v>46.3</v>
      </c>
      <c r="F449">
        <v>0</v>
      </c>
      <c r="G449">
        <v>540000</v>
      </c>
    </row>
    <row r="450" spans="1:7">
      <c r="A450">
        <v>48</v>
      </c>
      <c r="B450">
        <v>768</v>
      </c>
      <c r="C450">
        <v>16</v>
      </c>
      <c r="D450">
        <v>30000</v>
      </c>
      <c r="E450">
        <v>46.3</v>
      </c>
      <c r="F450">
        <v>0</v>
      </c>
      <c r="G450">
        <v>480000</v>
      </c>
    </row>
    <row r="451" spans="1:7">
      <c r="A451">
        <v>30</v>
      </c>
      <c r="B451">
        <v>360</v>
      </c>
      <c r="C451">
        <v>12</v>
      </c>
      <c r="D451">
        <v>30000</v>
      </c>
      <c r="E451">
        <v>46.3</v>
      </c>
      <c r="F451">
        <v>1</v>
      </c>
      <c r="G451">
        <v>360000</v>
      </c>
    </row>
    <row r="452" spans="1:7">
      <c r="A452">
        <v>25</v>
      </c>
      <c r="B452">
        <v>337.5</v>
      </c>
      <c r="C452">
        <v>13.5</v>
      </c>
      <c r="D452">
        <v>20000</v>
      </c>
      <c r="E452">
        <v>46.3</v>
      </c>
      <c r="F452">
        <v>0</v>
      </c>
      <c r="G452">
        <v>270000</v>
      </c>
    </row>
    <row r="453" spans="1:7">
      <c r="A453">
        <v>72</v>
      </c>
      <c r="B453">
        <v>864</v>
      </c>
      <c r="C453">
        <v>12</v>
      </c>
      <c r="D453">
        <v>6500</v>
      </c>
      <c r="E453">
        <v>46.3</v>
      </c>
      <c r="F453">
        <v>1</v>
      </c>
      <c r="G453">
        <v>78000</v>
      </c>
    </row>
    <row r="454" spans="1:7">
      <c r="A454">
        <v>52</v>
      </c>
      <c r="B454">
        <v>520</v>
      </c>
      <c r="C454">
        <v>10</v>
      </c>
      <c r="D454">
        <v>4500</v>
      </c>
      <c r="E454">
        <v>46.3</v>
      </c>
      <c r="F454">
        <v>1</v>
      </c>
      <c r="G454">
        <v>45000</v>
      </c>
    </row>
    <row r="455" spans="1:7">
      <c r="A455">
        <v>18</v>
      </c>
      <c r="B455">
        <v>180</v>
      </c>
      <c r="C455">
        <v>10</v>
      </c>
      <c r="D455">
        <v>30000</v>
      </c>
      <c r="E455">
        <v>46.3</v>
      </c>
      <c r="F455">
        <v>1</v>
      </c>
      <c r="G455">
        <v>300000</v>
      </c>
    </row>
    <row r="456" spans="1:7">
      <c r="A456">
        <v>34</v>
      </c>
      <c r="B456">
        <v>544</v>
      </c>
      <c r="C456">
        <v>16</v>
      </c>
      <c r="D456">
        <v>30000</v>
      </c>
      <c r="E456">
        <v>46.3</v>
      </c>
      <c r="F456">
        <v>1</v>
      </c>
      <c r="G456">
        <v>480000</v>
      </c>
    </row>
    <row r="457" spans="1:7">
      <c r="A457">
        <v>29</v>
      </c>
      <c r="B457">
        <v>290</v>
      </c>
      <c r="C457">
        <v>10</v>
      </c>
      <c r="D457">
        <v>12500</v>
      </c>
      <c r="E457">
        <v>46.3</v>
      </c>
      <c r="F457">
        <v>1</v>
      </c>
      <c r="G457">
        <v>125000</v>
      </c>
    </row>
    <row r="458" spans="1:7">
      <c r="A458">
        <v>47</v>
      </c>
      <c r="B458">
        <v>470</v>
      </c>
      <c r="C458">
        <v>10</v>
      </c>
      <c r="D458">
        <v>30000</v>
      </c>
      <c r="E458">
        <v>46.3</v>
      </c>
      <c r="F458">
        <v>0</v>
      </c>
      <c r="G458">
        <v>300000</v>
      </c>
    </row>
    <row r="459" spans="1:7">
      <c r="A459">
        <v>53</v>
      </c>
      <c r="B459">
        <v>636</v>
      </c>
      <c r="C459">
        <v>12</v>
      </c>
      <c r="D459">
        <v>30000</v>
      </c>
      <c r="E459">
        <v>46.3</v>
      </c>
      <c r="F459">
        <v>1</v>
      </c>
      <c r="G459">
        <v>360000</v>
      </c>
    </row>
    <row r="460" spans="1:7">
      <c r="A460">
        <v>27</v>
      </c>
      <c r="B460">
        <v>364.5</v>
      </c>
      <c r="C460">
        <v>13.5</v>
      </c>
      <c r="D460">
        <v>20000</v>
      </c>
      <c r="E460">
        <v>60</v>
      </c>
      <c r="F460">
        <v>1</v>
      </c>
      <c r="G460">
        <v>270000</v>
      </c>
    </row>
    <row r="461" spans="1:7">
      <c r="A461">
        <v>55</v>
      </c>
      <c r="B461">
        <v>880</v>
      </c>
      <c r="C461">
        <v>16</v>
      </c>
      <c r="D461">
        <v>30000</v>
      </c>
      <c r="E461">
        <v>60</v>
      </c>
      <c r="F461">
        <v>0</v>
      </c>
      <c r="G461">
        <v>480000</v>
      </c>
    </row>
    <row r="462" spans="1:7">
      <c r="A462">
        <v>26</v>
      </c>
      <c r="B462">
        <v>351</v>
      </c>
      <c r="C462">
        <v>13.5</v>
      </c>
      <c r="D462">
        <v>8500</v>
      </c>
      <c r="E462">
        <v>60</v>
      </c>
      <c r="F462">
        <v>1</v>
      </c>
      <c r="G462">
        <v>114750</v>
      </c>
    </row>
    <row r="463" spans="1:7">
      <c r="A463">
        <v>47</v>
      </c>
      <c r="B463">
        <v>282</v>
      </c>
      <c r="C463">
        <v>6</v>
      </c>
      <c r="D463">
        <v>12500</v>
      </c>
      <c r="E463">
        <v>60</v>
      </c>
      <c r="F463">
        <v>1</v>
      </c>
      <c r="G463">
        <v>75000</v>
      </c>
    </row>
    <row r="464" spans="1:7">
      <c r="A464">
        <v>25</v>
      </c>
      <c r="B464">
        <v>300</v>
      </c>
      <c r="C464">
        <v>12</v>
      </c>
      <c r="D464">
        <v>12500</v>
      </c>
      <c r="E464">
        <v>60</v>
      </c>
      <c r="F464">
        <v>1</v>
      </c>
      <c r="G464">
        <v>150000</v>
      </c>
    </row>
    <row r="465" spans="1:7">
      <c r="A465">
        <v>28</v>
      </c>
      <c r="B465">
        <v>378</v>
      </c>
      <c r="C465">
        <v>13.5</v>
      </c>
      <c r="D465">
        <v>8500</v>
      </c>
      <c r="E465">
        <v>60</v>
      </c>
      <c r="F465">
        <v>1</v>
      </c>
      <c r="G465">
        <v>114750</v>
      </c>
    </row>
    <row r="466" spans="1:7">
      <c r="A466">
        <v>19</v>
      </c>
      <c r="B466">
        <v>228</v>
      </c>
      <c r="C466">
        <v>12</v>
      </c>
      <c r="D466">
        <v>30000</v>
      </c>
      <c r="E466">
        <v>60</v>
      </c>
      <c r="F466">
        <v>1</v>
      </c>
      <c r="G466">
        <v>360000</v>
      </c>
    </row>
    <row r="467" spans="1:7">
      <c r="A467">
        <v>21</v>
      </c>
      <c r="B467">
        <v>283.5</v>
      </c>
      <c r="C467">
        <v>13.5</v>
      </c>
      <c r="D467">
        <v>6500</v>
      </c>
      <c r="E467">
        <v>60</v>
      </c>
      <c r="F467">
        <v>0</v>
      </c>
      <c r="G467">
        <v>87750</v>
      </c>
    </row>
    <row r="468" spans="1:7">
      <c r="A468">
        <v>45</v>
      </c>
      <c r="B468">
        <v>607.5</v>
      </c>
      <c r="C468">
        <v>13.5</v>
      </c>
      <c r="D468">
        <v>30000</v>
      </c>
      <c r="E468">
        <v>60</v>
      </c>
      <c r="F468">
        <v>1</v>
      </c>
      <c r="G468">
        <v>405000</v>
      </c>
    </row>
    <row r="469" spans="1:7">
      <c r="A469">
        <v>50</v>
      </c>
      <c r="B469">
        <v>300</v>
      </c>
      <c r="C469">
        <v>6</v>
      </c>
      <c r="D469">
        <v>5500</v>
      </c>
      <c r="E469">
        <v>60</v>
      </c>
      <c r="F469">
        <v>1</v>
      </c>
      <c r="G469">
        <v>33000</v>
      </c>
    </row>
    <row r="470" spans="1:7">
      <c r="A470">
        <v>32</v>
      </c>
      <c r="B470">
        <v>384</v>
      </c>
      <c r="C470">
        <v>12</v>
      </c>
      <c r="D470">
        <v>20000</v>
      </c>
      <c r="E470">
        <v>60</v>
      </c>
      <c r="F470">
        <v>0</v>
      </c>
      <c r="G470">
        <v>240000</v>
      </c>
    </row>
    <row r="471" spans="1:7">
      <c r="A471">
        <v>63</v>
      </c>
      <c r="B471">
        <v>1134</v>
      </c>
      <c r="C471">
        <v>18</v>
      </c>
      <c r="D471">
        <v>30000</v>
      </c>
      <c r="E471">
        <v>59</v>
      </c>
      <c r="F471">
        <v>0</v>
      </c>
      <c r="G471">
        <v>540000</v>
      </c>
    </row>
    <row r="472" spans="1:7">
      <c r="A472">
        <v>69</v>
      </c>
      <c r="B472">
        <v>552</v>
      </c>
      <c r="C472">
        <v>8</v>
      </c>
      <c r="D472">
        <v>12500</v>
      </c>
      <c r="E472">
        <v>59</v>
      </c>
      <c r="F472">
        <v>1</v>
      </c>
      <c r="G472">
        <v>100000</v>
      </c>
    </row>
    <row r="473" spans="1:7">
      <c r="A473">
        <v>37</v>
      </c>
      <c r="B473">
        <v>370</v>
      </c>
      <c r="C473">
        <v>10</v>
      </c>
      <c r="D473">
        <v>20000</v>
      </c>
      <c r="E473">
        <v>58.1</v>
      </c>
      <c r="F473">
        <v>1</v>
      </c>
      <c r="G473">
        <v>200000</v>
      </c>
    </row>
    <row r="474" spans="1:7">
      <c r="A474">
        <v>17</v>
      </c>
      <c r="B474">
        <v>170</v>
      </c>
      <c r="C474">
        <v>10</v>
      </c>
      <c r="D474">
        <v>20000</v>
      </c>
      <c r="E474">
        <v>58.1</v>
      </c>
      <c r="F474">
        <v>0</v>
      </c>
      <c r="G474">
        <v>200000</v>
      </c>
    </row>
    <row r="475" spans="1:7">
      <c r="A475">
        <v>30</v>
      </c>
      <c r="B475">
        <v>540</v>
      </c>
      <c r="C475">
        <v>18</v>
      </c>
      <c r="D475">
        <v>30000</v>
      </c>
      <c r="E475">
        <v>58.1</v>
      </c>
      <c r="F475">
        <v>0</v>
      </c>
      <c r="G475">
        <v>540000</v>
      </c>
    </row>
    <row r="476" spans="1:7">
      <c r="A476">
        <v>29</v>
      </c>
      <c r="B476">
        <v>464</v>
      </c>
      <c r="C476">
        <v>16</v>
      </c>
      <c r="D476">
        <v>20000</v>
      </c>
      <c r="E476">
        <v>58.1</v>
      </c>
      <c r="F476">
        <v>1</v>
      </c>
      <c r="G476">
        <v>320000</v>
      </c>
    </row>
    <row r="477" spans="1:7">
      <c r="A477">
        <v>28</v>
      </c>
      <c r="B477">
        <v>378</v>
      </c>
      <c r="C477">
        <v>13.5</v>
      </c>
      <c r="D477">
        <v>30000</v>
      </c>
      <c r="E477">
        <v>58.1</v>
      </c>
      <c r="F477">
        <v>0</v>
      </c>
      <c r="G477">
        <v>405000</v>
      </c>
    </row>
    <row r="478" spans="1:7">
      <c r="A478">
        <v>22</v>
      </c>
      <c r="B478">
        <v>264</v>
      </c>
      <c r="C478">
        <v>12</v>
      </c>
      <c r="D478">
        <v>12500</v>
      </c>
      <c r="E478">
        <v>58.1</v>
      </c>
      <c r="F478">
        <v>1</v>
      </c>
      <c r="G478">
        <v>150000</v>
      </c>
    </row>
    <row r="479" spans="1:7">
      <c r="A479">
        <v>36</v>
      </c>
      <c r="B479">
        <v>360</v>
      </c>
      <c r="C479">
        <v>10</v>
      </c>
      <c r="D479">
        <v>30000</v>
      </c>
      <c r="E479">
        <v>58.1</v>
      </c>
      <c r="F479">
        <v>0</v>
      </c>
      <c r="G479">
        <v>300000</v>
      </c>
    </row>
    <row r="480" spans="1:7">
      <c r="A480">
        <v>30</v>
      </c>
      <c r="B480">
        <v>405</v>
      </c>
      <c r="C480">
        <v>13.5</v>
      </c>
      <c r="D480">
        <v>20000</v>
      </c>
      <c r="E480">
        <v>58.1</v>
      </c>
      <c r="F480">
        <v>0</v>
      </c>
      <c r="G480">
        <v>270000</v>
      </c>
    </row>
    <row r="481" spans="1:7">
      <c r="A481">
        <v>21</v>
      </c>
      <c r="B481">
        <v>252</v>
      </c>
      <c r="C481">
        <v>12</v>
      </c>
      <c r="D481">
        <v>20000</v>
      </c>
      <c r="E481">
        <v>58.1</v>
      </c>
      <c r="F481">
        <v>1</v>
      </c>
      <c r="G481">
        <v>240000</v>
      </c>
    </row>
    <row r="482" spans="1:7">
      <c r="A482">
        <v>52</v>
      </c>
      <c r="B482">
        <v>832</v>
      </c>
      <c r="C482">
        <v>16</v>
      </c>
      <c r="D482">
        <v>20000</v>
      </c>
      <c r="E482">
        <v>58.1</v>
      </c>
      <c r="F482">
        <v>1</v>
      </c>
      <c r="G482">
        <v>320000</v>
      </c>
    </row>
    <row r="483" spans="1:7">
      <c r="A483">
        <v>26</v>
      </c>
      <c r="B483">
        <v>351</v>
      </c>
      <c r="C483">
        <v>13.5</v>
      </c>
      <c r="D483">
        <v>30000</v>
      </c>
      <c r="E483">
        <v>58.1</v>
      </c>
      <c r="F483">
        <v>0</v>
      </c>
      <c r="G483">
        <v>405000</v>
      </c>
    </row>
    <row r="484" spans="1:7">
      <c r="A484">
        <v>19</v>
      </c>
      <c r="B484">
        <v>228</v>
      </c>
      <c r="C484">
        <v>12</v>
      </c>
      <c r="D484">
        <v>8500</v>
      </c>
      <c r="E484">
        <v>58.1</v>
      </c>
      <c r="F484">
        <v>0</v>
      </c>
      <c r="G484">
        <v>102000</v>
      </c>
    </row>
    <row r="485" spans="1:7">
      <c r="A485">
        <v>63</v>
      </c>
      <c r="B485">
        <v>1134</v>
      </c>
      <c r="C485">
        <v>18</v>
      </c>
      <c r="D485">
        <v>30000</v>
      </c>
      <c r="E485">
        <v>58.1</v>
      </c>
      <c r="F485">
        <v>1</v>
      </c>
      <c r="G485">
        <v>540000</v>
      </c>
    </row>
    <row r="486" spans="1:7">
      <c r="A486">
        <v>35</v>
      </c>
      <c r="B486">
        <v>420</v>
      </c>
      <c r="C486">
        <v>12</v>
      </c>
      <c r="D486">
        <v>20000</v>
      </c>
      <c r="E486">
        <v>58.1</v>
      </c>
      <c r="F486">
        <v>0</v>
      </c>
      <c r="G486">
        <v>240000</v>
      </c>
    </row>
    <row r="487" spans="1:7">
      <c r="A487">
        <v>21</v>
      </c>
      <c r="B487">
        <v>210</v>
      </c>
      <c r="C487">
        <v>10</v>
      </c>
      <c r="D487">
        <v>30000</v>
      </c>
      <c r="E487">
        <v>58.1</v>
      </c>
      <c r="F487">
        <v>1</v>
      </c>
      <c r="G487">
        <v>300000</v>
      </c>
    </row>
    <row r="488" spans="1:7">
      <c r="A488">
        <v>22</v>
      </c>
      <c r="B488">
        <v>330</v>
      </c>
      <c r="C488">
        <v>15</v>
      </c>
      <c r="D488">
        <v>8500</v>
      </c>
      <c r="E488">
        <v>58.1</v>
      </c>
      <c r="F488">
        <v>0</v>
      </c>
      <c r="G488">
        <v>127500</v>
      </c>
    </row>
    <row r="489" spans="1:7">
      <c r="A489">
        <v>72</v>
      </c>
      <c r="B489">
        <v>864</v>
      </c>
      <c r="C489">
        <v>12</v>
      </c>
      <c r="D489">
        <v>30000</v>
      </c>
      <c r="E489">
        <v>58.1</v>
      </c>
      <c r="F489">
        <v>0</v>
      </c>
      <c r="G489">
        <v>360000</v>
      </c>
    </row>
    <row r="490" spans="1:7">
      <c r="A490">
        <v>54</v>
      </c>
      <c r="B490">
        <v>972</v>
      </c>
      <c r="C490">
        <v>18</v>
      </c>
      <c r="D490">
        <v>30000</v>
      </c>
      <c r="E490">
        <v>58.1</v>
      </c>
      <c r="F490">
        <v>0</v>
      </c>
      <c r="G490">
        <v>540000</v>
      </c>
    </row>
    <row r="491" spans="1:7">
      <c r="A491">
        <v>37</v>
      </c>
      <c r="B491">
        <v>499.5</v>
      </c>
      <c r="C491">
        <v>13.5</v>
      </c>
      <c r="D491">
        <v>30000</v>
      </c>
      <c r="E491">
        <v>58.1</v>
      </c>
      <c r="F491">
        <v>0</v>
      </c>
      <c r="G491">
        <v>405000</v>
      </c>
    </row>
    <row r="492" spans="1:7">
      <c r="A492">
        <v>56</v>
      </c>
      <c r="B492">
        <v>896</v>
      </c>
      <c r="C492">
        <v>16</v>
      </c>
      <c r="D492">
        <v>30000</v>
      </c>
      <c r="E492">
        <v>58.1</v>
      </c>
      <c r="F492">
        <v>0</v>
      </c>
      <c r="G492">
        <v>480000</v>
      </c>
    </row>
    <row r="493" spans="1:7">
      <c r="A493">
        <v>26</v>
      </c>
      <c r="B493">
        <v>390</v>
      </c>
      <c r="C493">
        <v>15</v>
      </c>
      <c r="D493">
        <v>3500</v>
      </c>
      <c r="E493">
        <v>58.1</v>
      </c>
      <c r="F493">
        <v>1</v>
      </c>
      <c r="G493">
        <v>52500</v>
      </c>
    </row>
    <row r="494" spans="1:7">
      <c r="A494">
        <v>18</v>
      </c>
      <c r="B494">
        <v>216</v>
      </c>
      <c r="C494">
        <v>12</v>
      </c>
      <c r="D494">
        <v>30000</v>
      </c>
      <c r="E494">
        <v>58.1</v>
      </c>
      <c r="F494">
        <v>0</v>
      </c>
      <c r="G494">
        <v>360000</v>
      </c>
    </row>
    <row r="495" spans="1:7">
      <c r="A495">
        <v>33</v>
      </c>
      <c r="B495">
        <v>396</v>
      </c>
      <c r="C495">
        <v>12</v>
      </c>
      <c r="D495">
        <v>30000</v>
      </c>
      <c r="E495">
        <v>58.1</v>
      </c>
      <c r="F495">
        <v>1</v>
      </c>
      <c r="G495">
        <v>360000</v>
      </c>
    </row>
    <row r="496" spans="1:7">
      <c r="A496">
        <v>51</v>
      </c>
      <c r="B496">
        <v>688.5</v>
      </c>
      <c r="C496">
        <v>13.5</v>
      </c>
      <c r="D496">
        <v>30000</v>
      </c>
      <c r="E496">
        <v>58.1</v>
      </c>
      <c r="F496">
        <v>0</v>
      </c>
      <c r="G496">
        <v>405000</v>
      </c>
    </row>
    <row r="497" spans="1:7">
      <c r="A497">
        <v>31</v>
      </c>
      <c r="B497">
        <v>558</v>
      </c>
      <c r="C497">
        <v>18</v>
      </c>
      <c r="D497">
        <v>12500</v>
      </c>
      <c r="E497">
        <v>58.1</v>
      </c>
      <c r="F497">
        <v>1</v>
      </c>
      <c r="G497">
        <v>225000</v>
      </c>
    </row>
    <row r="498" spans="1:7">
      <c r="A498">
        <v>23</v>
      </c>
      <c r="B498">
        <v>230</v>
      </c>
      <c r="C498">
        <v>10</v>
      </c>
      <c r="D498">
        <v>30000</v>
      </c>
      <c r="E498">
        <v>68.2</v>
      </c>
      <c r="F498">
        <v>1</v>
      </c>
      <c r="G498">
        <v>300000</v>
      </c>
    </row>
    <row r="499" spans="1:7">
      <c r="A499">
        <v>17</v>
      </c>
      <c r="B499">
        <v>170</v>
      </c>
      <c r="C499">
        <v>10</v>
      </c>
      <c r="D499">
        <v>20000</v>
      </c>
      <c r="E499">
        <v>68.2</v>
      </c>
      <c r="F499">
        <v>0</v>
      </c>
      <c r="G499">
        <v>200000</v>
      </c>
    </row>
    <row r="500" spans="1:7">
      <c r="A500">
        <v>33</v>
      </c>
      <c r="B500">
        <v>396</v>
      </c>
      <c r="C500">
        <v>12</v>
      </c>
      <c r="D500">
        <v>30000</v>
      </c>
      <c r="E500">
        <v>68.2</v>
      </c>
      <c r="F500">
        <v>0</v>
      </c>
      <c r="G500">
        <v>360000</v>
      </c>
    </row>
    <row r="501" spans="1:7">
      <c r="A501">
        <v>17</v>
      </c>
      <c r="B501">
        <v>170</v>
      </c>
      <c r="C501">
        <v>10</v>
      </c>
      <c r="D501">
        <v>30000</v>
      </c>
      <c r="E501">
        <v>68.2</v>
      </c>
      <c r="F501">
        <v>0</v>
      </c>
      <c r="G501">
        <v>300000</v>
      </c>
    </row>
    <row r="502" spans="1:7">
      <c r="A502">
        <v>24</v>
      </c>
      <c r="B502">
        <v>240</v>
      </c>
      <c r="C502">
        <v>10</v>
      </c>
      <c r="D502">
        <v>12500</v>
      </c>
      <c r="E502">
        <v>68.2</v>
      </c>
      <c r="F502">
        <v>0</v>
      </c>
      <c r="G502">
        <v>125000</v>
      </c>
    </row>
    <row r="503" spans="1:7">
      <c r="A503">
        <v>23</v>
      </c>
      <c r="B503">
        <v>276</v>
      </c>
      <c r="C503">
        <v>12</v>
      </c>
      <c r="D503">
        <v>6500</v>
      </c>
      <c r="E503">
        <v>68.2</v>
      </c>
      <c r="F503">
        <v>0</v>
      </c>
      <c r="G503">
        <v>78000</v>
      </c>
    </row>
    <row r="504" spans="1:7">
      <c r="A504">
        <v>80</v>
      </c>
      <c r="B504">
        <v>800</v>
      </c>
      <c r="C504">
        <v>10</v>
      </c>
      <c r="D504">
        <v>8500</v>
      </c>
      <c r="E504">
        <v>68.2</v>
      </c>
      <c r="F504">
        <v>0</v>
      </c>
      <c r="G504">
        <v>85000</v>
      </c>
    </row>
    <row r="505" spans="1:7">
      <c r="A505">
        <v>56</v>
      </c>
      <c r="B505">
        <v>560</v>
      </c>
      <c r="C505">
        <v>10</v>
      </c>
      <c r="D505">
        <v>20000</v>
      </c>
      <c r="E505">
        <v>68.2</v>
      </c>
      <c r="F505">
        <v>0</v>
      </c>
      <c r="G505">
        <v>200000</v>
      </c>
    </row>
    <row r="506" spans="1:7">
      <c r="A506">
        <v>57</v>
      </c>
      <c r="B506">
        <v>684</v>
      </c>
      <c r="C506">
        <v>12</v>
      </c>
      <c r="D506">
        <v>6500</v>
      </c>
      <c r="E506">
        <v>68.2</v>
      </c>
      <c r="F506">
        <v>0</v>
      </c>
      <c r="G506">
        <v>78000</v>
      </c>
    </row>
    <row r="507" spans="1:7">
      <c r="A507">
        <v>56</v>
      </c>
      <c r="B507">
        <v>896</v>
      </c>
      <c r="C507">
        <v>16</v>
      </c>
      <c r="D507">
        <v>30000</v>
      </c>
      <c r="E507">
        <v>68.2</v>
      </c>
      <c r="F507">
        <v>0</v>
      </c>
      <c r="G507">
        <v>480000</v>
      </c>
    </row>
    <row r="508" spans="1:7">
      <c r="A508">
        <v>61</v>
      </c>
      <c r="B508">
        <v>732</v>
      </c>
      <c r="C508">
        <v>12</v>
      </c>
      <c r="D508">
        <v>20000</v>
      </c>
      <c r="E508">
        <v>68.2</v>
      </c>
      <c r="F508">
        <v>0</v>
      </c>
      <c r="G508">
        <v>240000</v>
      </c>
    </row>
    <row r="509" spans="1:7">
      <c r="A509">
        <v>52</v>
      </c>
      <c r="B509">
        <v>832</v>
      </c>
      <c r="C509">
        <v>16</v>
      </c>
      <c r="D509">
        <v>30000</v>
      </c>
      <c r="E509">
        <v>68.2</v>
      </c>
      <c r="F509">
        <v>0</v>
      </c>
      <c r="G509">
        <v>480000</v>
      </c>
    </row>
    <row r="510" spans="1:7">
      <c r="A510">
        <v>24</v>
      </c>
      <c r="B510">
        <v>288</v>
      </c>
      <c r="C510">
        <v>12</v>
      </c>
      <c r="D510">
        <v>8500</v>
      </c>
      <c r="E510">
        <v>68.2</v>
      </c>
      <c r="F510">
        <v>1</v>
      </c>
      <c r="G510">
        <v>102000</v>
      </c>
    </row>
    <row r="511" spans="1:7">
      <c r="A511">
        <v>38</v>
      </c>
      <c r="B511">
        <v>456</v>
      </c>
      <c r="C511">
        <v>12</v>
      </c>
      <c r="D511">
        <v>20000</v>
      </c>
      <c r="E511">
        <v>68.2</v>
      </c>
      <c r="F511">
        <v>1</v>
      </c>
      <c r="G511">
        <v>240000</v>
      </c>
    </row>
    <row r="512" spans="1:7">
      <c r="A512">
        <v>52</v>
      </c>
      <c r="B512">
        <v>520</v>
      </c>
      <c r="C512">
        <v>10</v>
      </c>
      <c r="D512">
        <v>20000</v>
      </c>
      <c r="E512">
        <v>68.2</v>
      </c>
      <c r="F512">
        <v>0</v>
      </c>
      <c r="G512">
        <v>200000</v>
      </c>
    </row>
    <row r="513" spans="1:7">
      <c r="A513">
        <v>60</v>
      </c>
      <c r="B513">
        <v>720</v>
      </c>
      <c r="C513">
        <v>12</v>
      </c>
      <c r="D513">
        <v>30000</v>
      </c>
      <c r="E513">
        <v>68.2</v>
      </c>
      <c r="F513">
        <v>0</v>
      </c>
      <c r="G513">
        <v>360000</v>
      </c>
    </row>
    <row r="514" spans="1:7">
      <c r="A514">
        <v>44</v>
      </c>
      <c r="B514">
        <v>528</v>
      </c>
      <c r="C514">
        <v>12</v>
      </c>
      <c r="D514">
        <v>30000</v>
      </c>
      <c r="E514">
        <v>68.2</v>
      </c>
      <c r="F514">
        <v>1</v>
      </c>
      <c r="G514">
        <v>360000</v>
      </c>
    </row>
    <row r="515" spans="1:7">
      <c r="A515">
        <v>46</v>
      </c>
      <c r="B515">
        <v>828</v>
      </c>
      <c r="C515">
        <v>18</v>
      </c>
      <c r="D515">
        <v>30000</v>
      </c>
      <c r="E515">
        <v>68.2</v>
      </c>
      <c r="F515">
        <v>0</v>
      </c>
      <c r="G515">
        <v>540000</v>
      </c>
    </row>
    <row r="516" spans="1:7">
      <c r="A516">
        <v>53</v>
      </c>
      <c r="B516">
        <v>636</v>
      </c>
      <c r="C516">
        <v>12</v>
      </c>
      <c r="D516">
        <v>30000</v>
      </c>
      <c r="E516">
        <v>68.2</v>
      </c>
      <c r="F516">
        <v>0</v>
      </c>
      <c r="G516">
        <v>360000</v>
      </c>
    </row>
    <row r="517" spans="1:7">
      <c r="A517">
        <v>28</v>
      </c>
      <c r="B517">
        <v>336</v>
      </c>
      <c r="C517">
        <v>12</v>
      </c>
      <c r="D517">
        <v>30000</v>
      </c>
      <c r="E517">
        <v>68.2</v>
      </c>
      <c r="F517">
        <v>1</v>
      </c>
      <c r="G517">
        <v>360000</v>
      </c>
    </row>
    <row r="518" spans="1:7">
      <c r="A518">
        <v>29</v>
      </c>
      <c r="B518">
        <v>522</v>
      </c>
      <c r="C518">
        <v>18</v>
      </c>
      <c r="D518">
        <v>20000</v>
      </c>
      <c r="E518">
        <v>68.2</v>
      </c>
      <c r="F518">
        <v>0</v>
      </c>
      <c r="G518">
        <v>360000</v>
      </c>
    </row>
    <row r="519" spans="1:7">
      <c r="A519">
        <v>18</v>
      </c>
      <c r="B519">
        <v>216</v>
      </c>
      <c r="C519">
        <v>12</v>
      </c>
      <c r="D519">
        <v>6500</v>
      </c>
      <c r="E519">
        <v>68.2</v>
      </c>
      <c r="F519">
        <v>0</v>
      </c>
      <c r="G519">
        <v>78000</v>
      </c>
    </row>
    <row r="520" spans="1:7">
      <c r="A520">
        <v>61</v>
      </c>
      <c r="B520">
        <v>915</v>
      </c>
      <c r="C520">
        <v>15</v>
      </c>
      <c r="D520">
        <v>20000</v>
      </c>
      <c r="E520">
        <v>68.2</v>
      </c>
      <c r="F520">
        <v>0</v>
      </c>
      <c r="G520">
        <v>300000</v>
      </c>
    </row>
    <row r="521" spans="1:7">
      <c r="A521">
        <v>38</v>
      </c>
      <c r="B521">
        <v>456</v>
      </c>
      <c r="C521">
        <v>12</v>
      </c>
      <c r="D521">
        <v>20000</v>
      </c>
      <c r="E521">
        <v>68.2</v>
      </c>
      <c r="F521">
        <v>1</v>
      </c>
      <c r="G521">
        <v>240000</v>
      </c>
    </row>
    <row r="522" spans="1:7">
      <c r="A522">
        <v>26</v>
      </c>
      <c r="B522">
        <v>312</v>
      </c>
      <c r="C522">
        <v>12</v>
      </c>
      <c r="D522">
        <v>20000</v>
      </c>
      <c r="E522">
        <v>68.2</v>
      </c>
      <c r="F522">
        <v>0</v>
      </c>
      <c r="G522">
        <v>240000</v>
      </c>
    </row>
    <row r="523" spans="1:7">
      <c r="A523">
        <v>40</v>
      </c>
      <c r="B523">
        <v>640</v>
      </c>
      <c r="C523">
        <v>16</v>
      </c>
      <c r="D523">
        <v>20000</v>
      </c>
      <c r="E523">
        <v>68.2</v>
      </c>
      <c r="F523">
        <v>1</v>
      </c>
      <c r="G523">
        <v>320000</v>
      </c>
    </row>
    <row r="524" spans="1:7">
      <c r="A524">
        <v>29</v>
      </c>
      <c r="B524">
        <v>464</v>
      </c>
      <c r="C524">
        <v>16</v>
      </c>
      <c r="D524">
        <v>20000</v>
      </c>
      <c r="E524">
        <v>68.2</v>
      </c>
      <c r="F524">
        <v>0</v>
      </c>
      <c r="G524">
        <v>320000</v>
      </c>
    </row>
    <row r="525" spans="1:7">
      <c r="A525">
        <v>52</v>
      </c>
      <c r="B525">
        <v>624</v>
      </c>
      <c r="C525">
        <v>12</v>
      </c>
      <c r="D525">
        <v>8500</v>
      </c>
      <c r="E525">
        <v>68.2</v>
      </c>
      <c r="F525">
        <v>1</v>
      </c>
      <c r="G525">
        <v>102000</v>
      </c>
    </row>
    <row r="526" spans="1:7">
      <c r="A526">
        <v>32</v>
      </c>
      <c r="B526">
        <v>384</v>
      </c>
      <c r="C526">
        <v>12</v>
      </c>
      <c r="D526">
        <v>20000</v>
      </c>
      <c r="E526">
        <v>68.2</v>
      </c>
      <c r="F526">
        <v>0</v>
      </c>
      <c r="G526">
        <v>240000</v>
      </c>
    </row>
    <row r="527" spans="1:7">
      <c r="A527">
        <v>23</v>
      </c>
      <c r="B527">
        <v>276</v>
      </c>
      <c r="C527">
        <v>12</v>
      </c>
      <c r="D527">
        <v>8500</v>
      </c>
      <c r="E527">
        <v>68.2</v>
      </c>
      <c r="F527">
        <v>0</v>
      </c>
      <c r="G527">
        <v>102000</v>
      </c>
    </row>
    <row r="528" spans="1:7">
      <c r="A528">
        <v>54</v>
      </c>
      <c r="B528">
        <v>729</v>
      </c>
      <c r="C528">
        <v>13.5</v>
      </c>
      <c r="D528">
        <v>20000</v>
      </c>
      <c r="E528">
        <v>68.2</v>
      </c>
      <c r="F528">
        <v>0</v>
      </c>
      <c r="G528">
        <v>270000</v>
      </c>
    </row>
    <row r="529" spans="1:7">
      <c r="A529">
        <v>55</v>
      </c>
      <c r="B529">
        <v>742.5</v>
      </c>
      <c r="C529">
        <v>13.5</v>
      </c>
      <c r="D529">
        <v>12500</v>
      </c>
      <c r="E529">
        <v>60.3</v>
      </c>
      <c r="F529">
        <v>1</v>
      </c>
      <c r="G529">
        <v>168750</v>
      </c>
    </row>
    <row r="530" spans="1:7">
      <c r="A530">
        <v>22</v>
      </c>
      <c r="B530">
        <v>352</v>
      </c>
      <c r="C530">
        <v>16</v>
      </c>
      <c r="D530">
        <v>8500</v>
      </c>
      <c r="E530">
        <v>60.3</v>
      </c>
      <c r="F530">
        <v>1</v>
      </c>
      <c r="G530">
        <v>136000</v>
      </c>
    </row>
    <row r="531" spans="1:7">
      <c r="A531">
        <v>23</v>
      </c>
      <c r="B531">
        <v>276</v>
      </c>
      <c r="C531">
        <v>12</v>
      </c>
      <c r="D531">
        <v>20000</v>
      </c>
      <c r="E531">
        <v>60.3</v>
      </c>
      <c r="F531">
        <v>0</v>
      </c>
      <c r="G531">
        <v>240000</v>
      </c>
    </row>
    <row r="532" spans="1:7">
      <c r="A532">
        <v>22</v>
      </c>
      <c r="B532">
        <v>220</v>
      </c>
      <c r="C532">
        <v>10</v>
      </c>
      <c r="D532">
        <v>20000</v>
      </c>
      <c r="E532">
        <v>60.3</v>
      </c>
      <c r="F532">
        <v>1</v>
      </c>
      <c r="G532">
        <v>200000</v>
      </c>
    </row>
    <row r="533" spans="1:7">
      <c r="A533">
        <v>62</v>
      </c>
      <c r="B533">
        <v>372</v>
      </c>
      <c r="C533">
        <v>6</v>
      </c>
      <c r="D533">
        <v>30000</v>
      </c>
      <c r="E533">
        <v>60.3</v>
      </c>
      <c r="F533">
        <v>1</v>
      </c>
      <c r="G533">
        <v>180000</v>
      </c>
    </row>
    <row r="534" spans="1:7">
      <c r="A534">
        <v>40</v>
      </c>
      <c r="B534">
        <v>400</v>
      </c>
      <c r="C534">
        <v>10</v>
      </c>
      <c r="D534">
        <v>30000</v>
      </c>
      <c r="E534">
        <v>60.3</v>
      </c>
      <c r="F534">
        <v>1</v>
      </c>
      <c r="G534">
        <v>300000</v>
      </c>
    </row>
    <row r="535" spans="1:7">
      <c r="A535">
        <v>46</v>
      </c>
      <c r="B535">
        <v>828</v>
      </c>
      <c r="C535">
        <v>18</v>
      </c>
      <c r="D535">
        <v>30000</v>
      </c>
      <c r="E535">
        <v>60.3</v>
      </c>
      <c r="F535">
        <v>0</v>
      </c>
      <c r="G535">
        <v>540000</v>
      </c>
    </row>
    <row r="536" spans="1:7">
      <c r="A536">
        <v>20</v>
      </c>
      <c r="B536">
        <v>270</v>
      </c>
      <c r="C536">
        <v>13.5</v>
      </c>
      <c r="D536">
        <v>12500</v>
      </c>
      <c r="E536">
        <v>60.3</v>
      </c>
      <c r="F536">
        <v>1</v>
      </c>
      <c r="G536">
        <v>168750</v>
      </c>
    </row>
    <row r="537" spans="1:7">
      <c r="A537">
        <v>49</v>
      </c>
      <c r="B537">
        <v>882</v>
      </c>
      <c r="C537">
        <v>18</v>
      </c>
      <c r="D537">
        <v>20000</v>
      </c>
      <c r="E537">
        <v>60.3</v>
      </c>
      <c r="F537">
        <v>0</v>
      </c>
      <c r="G537">
        <v>360000</v>
      </c>
    </row>
    <row r="538" spans="1:7">
      <c r="A538">
        <v>19</v>
      </c>
      <c r="B538">
        <v>190</v>
      </c>
      <c r="C538">
        <v>10</v>
      </c>
      <c r="D538">
        <v>20000</v>
      </c>
      <c r="E538">
        <v>60.3</v>
      </c>
      <c r="F538">
        <v>0</v>
      </c>
      <c r="G538">
        <v>200000</v>
      </c>
    </row>
    <row r="539" spans="1:7">
      <c r="A539">
        <v>38</v>
      </c>
      <c r="B539">
        <v>304</v>
      </c>
      <c r="C539">
        <v>8</v>
      </c>
      <c r="D539">
        <v>30000</v>
      </c>
      <c r="E539">
        <v>60.3</v>
      </c>
      <c r="F539">
        <v>0</v>
      </c>
      <c r="G539">
        <v>240000</v>
      </c>
    </row>
    <row r="540" spans="1:7">
      <c r="A540">
        <v>30</v>
      </c>
      <c r="B540">
        <v>360</v>
      </c>
      <c r="C540">
        <v>12</v>
      </c>
      <c r="D540">
        <v>4500</v>
      </c>
      <c r="E540">
        <v>60.3</v>
      </c>
      <c r="F540">
        <v>1</v>
      </c>
      <c r="G540">
        <v>54000</v>
      </c>
    </row>
    <row r="541" spans="1:7">
      <c r="A541">
        <v>61</v>
      </c>
      <c r="B541">
        <v>823.5</v>
      </c>
      <c r="C541">
        <v>13.5</v>
      </c>
      <c r="D541">
        <v>20000</v>
      </c>
      <c r="E541">
        <v>60.3</v>
      </c>
      <c r="F541">
        <v>1</v>
      </c>
      <c r="G541">
        <v>270000</v>
      </c>
    </row>
    <row r="542" spans="1:7">
      <c r="A542">
        <v>63</v>
      </c>
      <c r="B542">
        <v>850.5</v>
      </c>
      <c r="C542">
        <v>13.5</v>
      </c>
      <c r="D542">
        <v>20000</v>
      </c>
      <c r="E542">
        <v>60.3</v>
      </c>
      <c r="F542">
        <v>0</v>
      </c>
      <c r="G542">
        <v>270000</v>
      </c>
    </row>
    <row r="543" spans="1:7">
      <c r="A543">
        <v>60</v>
      </c>
      <c r="B543">
        <v>360</v>
      </c>
      <c r="C543">
        <v>6</v>
      </c>
      <c r="D543">
        <v>4500</v>
      </c>
      <c r="E543">
        <v>60.3</v>
      </c>
      <c r="F543">
        <v>1</v>
      </c>
      <c r="G543">
        <v>27000</v>
      </c>
    </row>
    <row r="544" spans="1:7">
      <c r="A544">
        <v>36</v>
      </c>
      <c r="B544">
        <v>486</v>
      </c>
      <c r="C544">
        <v>13.5</v>
      </c>
      <c r="D544">
        <v>12500</v>
      </c>
      <c r="E544">
        <v>60.3</v>
      </c>
      <c r="F544">
        <v>0</v>
      </c>
      <c r="G544">
        <v>168750</v>
      </c>
    </row>
    <row r="545" spans="1:7">
      <c r="A545">
        <v>31</v>
      </c>
      <c r="B545">
        <v>372</v>
      </c>
      <c r="C545">
        <v>12</v>
      </c>
      <c r="D545">
        <v>20000</v>
      </c>
      <c r="E545">
        <v>60.3</v>
      </c>
      <c r="F545">
        <v>0</v>
      </c>
      <c r="G545">
        <v>240000</v>
      </c>
    </row>
    <row r="546" spans="1:7">
      <c r="A546">
        <v>18</v>
      </c>
      <c r="B546">
        <v>216</v>
      </c>
      <c r="C546">
        <v>12</v>
      </c>
      <c r="D546">
        <v>500</v>
      </c>
      <c r="E546">
        <v>60.3</v>
      </c>
      <c r="F546">
        <v>0</v>
      </c>
      <c r="G546">
        <v>6000</v>
      </c>
    </row>
    <row r="547" spans="1:7">
      <c r="A547">
        <v>21</v>
      </c>
      <c r="B547">
        <v>252</v>
      </c>
      <c r="C547">
        <v>12</v>
      </c>
      <c r="D547">
        <v>30000</v>
      </c>
      <c r="E547">
        <v>60.3</v>
      </c>
      <c r="F547">
        <v>0</v>
      </c>
      <c r="G547">
        <v>360000</v>
      </c>
    </row>
    <row r="548" spans="1:7">
      <c r="A548">
        <v>17</v>
      </c>
      <c r="B548">
        <v>204</v>
      </c>
      <c r="C548">
        <v>12</v>
      </c>
      <c r="D548">
        <v>20000</v>
      </c>
      <c r="E548">
        <v>60.3</v>
      </c>
      <c r="F548">
        <v>0</v>
      </c>
      <c r="G548">
        <v>240000</v>
      </c>
    </row>
    <row r="549" spans="1:7">
      <c r="A549">
        <v>37</v>
      </c>
      <c r="B549">
        <v>499.5</v>
      </c>
      <c r="C549">
        <v>13.5</v>
      </c>
      <c r="D549">
        <v>30000</v>
      </c>
      <c r="E549">
        <v>60.3</v>
      </c>
      <c r="F549">
        <v>0</v>
      </c>
      <c r="G549">
        <v>405000</v>
      </c>
    </row>
    <row r="550" spans="1:7">
      <c r="A550">
        <v>64</v>
      </c>
      <c r="B550">
        <v>768</v>
      </c>
      <c r="C550">
        <v>12</v>
      </c>
      <c r="D550">
        <v>8500</v>
      </c>
      <c r="E550">
        <v>60.3</v>
      </c>
      <c r="F550">
        <v>1</v>
      </c>
      <c r="G550">
        <v>102000</v>
      </c>
    </row>
    <row r="551" spans="1:7">
      <c r="A551">
        <v>20</v>
      </c>
      <c r="B551">
        <v>240</v>
      </c>
      <c r="C551">
        <v>12</v>
      </c>
      <c r="D551">
        <v>12500</v>
      </c>
      <c r="E551">
        <v>60.3</v>
      </c>
      <c r="F551">
        <v>1</v>
      </c>
      <c r="G551">
        <v>150000</v>
      </c>
    </row>
    <row r="552" spans="1:7">
      <c r="A552">
        <v>63</v>
      </c>
      <c r="B552">
        <v>1134</v>
      </c>
      <c r="C552">
        <v>18</v>
      </c>
      <c r="D552">
        <v>30000</v>
      </c>
      <c r="E552">
        <v>60.3</v>
      </c>
      <c r="F552">
        <v>0</v>
      </c>
      <c r="G552">
        <v>540000</v>
      </c>
    </row>
    <row r="553" spans="1:7">
      <c r="A553">
        <v>18</v>
      </c>
      <c r="B553">
        <v>216</v>
      </c>
      <c r="C553">
        <v>12</v>
      </c>
      <c r="D553">
        <v>30000</v>
      </c>
      <c r="E553">
        <v>60.3</v>
      </c>
      <c r="F553">
        <v>0</v>
      </c>
      <c r="G553">
        <v>360000</v>
      </c>
    </row>
    <row r="554" spans="1:7">
      <c r="A554">
        <v>21</v>
      </c>
      <c r="B554">
        <v>210</v>
      </c>
      <c r="C554">
        <v>10</v>
      </c>
      <c r="D554">
        <v>5500</v>
      </c>
      <c r="E554">
        <v>60.3</v>
      </c>
      <c r="F554">
        <v>1</v>
      </c>
      <c r="G554">
        <v>55000</v>
      </c>
    </row>
    <row r="555" spans="1:7">
      <c r="A555">
        <v>31</v>
      </c>
      <c r="B555">
        <v>496</v>
      </c>
      <c r="C555">
        <v>16</v>
      </c>
      <c r="D555">
        <v>20000</v>
      </c>
      <c r="E555">
        <v>60.3</v>
      </c>
      <c r="F555">
        <v>1</v>
      </c>
      <c r="G555">
        <v>320000</v>
      </c>
    </row>
    <row r="556" spans="1:7">
      <c r="A556">
        <v>30</v>
      </c>
      <c r="B556">
        <v>300</v>
      </c>
      <c r="C556">
        <v>10</v>
      </c>
      <c r="D556">
        <v>30000</v>
      </c>
      <c r="E556">
        <v>60.3</v>
      </c>
      <c r="F556">
        <v>1</v>
      </c>
      <c r="G556">
        <v>300000</v>
      </c>
    </row>
    <row r="557" spans="1:7">
      <c r="A557">
        <v>30</v>
      </c>
      <c r="B557">
        <v>360</v>
      </c>
      <c r="C557">
        <v>12</v>
      </c>
      <c r="D557">
        <v>6500</v>
      </c>
      <c r="E557">
        <v>60.3</v>
      </c>
      <c r="F557">
        <v>0</v>
      </c>
      <c r="G557">
        <v>78000</v>
      </c>
    </row>
    <row r="558" spans="1:7">
      <c r="A558">
        <v>25</v>
      </c>
      <c r="B558">
        <v>300</v>
      </c>
      <c r="C558">
        <v>12</v>
      </c>
      <c r="D558">
        <v>30000</v>
      </c>
      <c r="E558">
        <v>60.3</v>
      </c>
      <c r="F558">
        <v>1</v>
      </c>
      <c r="G558">
        <v>360000</v>
      </c>
    </row>
    <row r="559" spans="1:7">
      <c r="A559">
        <v>40</v>
      </c>
      <c r="B559">
        <v>640</v>
      </c>
      <c r="C559">
        <v>16</v>
      </c>
      <c r="D559">
        <v>30000</v>
      </c>
      <c r="E559">
        <v>60.3</v>
      </c>
      <c r="F559">
        <v>0</v>
      </c>
      <c r="G559">
        <v>480000</v>
      </c>
    </row>
    <row r="560" spans="1:7">
      <c r="A560">
        <v>64</v>
      </c>
      <c r="B560">
        <v>864</v>
      </c>
      <c r="C560">
        <v>13.5</v>
      </c>
      <c r="D560">
        <v>8500</v>
      </c>
      <c r="E560">
        <v>60.3</v>
      </c>
      <c r="F560">
        <v>1</v>
      </c>
      <c r="G560">
        <v>114750</v>
      </c>
    </row>
    <row r="561" spans="1:7">
      <c r="A561">
        <v>40</v>
      </c>
      <c r="B561">
        <v>480</v>
      </c>
      <c r="C561">
        <v>12</v>
      </c>
      <c r="D561">
        <v>30000</v>
      </c>
      <c r="E561">
        <v>60.3</v>
      </c>
      <c r="F561">
        <v>1</v>
      </c>
      <c r="G561">
        <v>360000</v>
      </c>
    </row>
    <row r="562" spans="1:7">
      <c r="A562">
        <v>24</v>
      </c>
      <c r="B562">
        <v>432</v>
      </c>
      <c r="C562">
        <v>18</v>
      </c>
      <c r="D562">
        <v>4500</v>
      </c>
      <c r="E562">
        <v>60.3</v>
      </c>
      <c r="F562">
        <v>1</v>
      </c>
      <c r="G562">
        <v>81000</v>
      </c>
    </row>
    <row r="563" spans="1:7">
      <c r="A563">
        <v>32</v>
      </c>
      <c r="B563">
        <v>384</v>
      </c>
      <c r="C563">
        <v>12</v>
      </c>
      <c r="D563">
        <v>30000</v>
      </c>
      <c r="E563">
        <v>60.3</v>
      </c>
      <c r="F563">
        <v>1</v>
      </c>
      <c r="G563">
        <v>360000</v>
      </c>
    </row>
    <row r="564" spans="1:7">
      <c r="A564">
        <v>57</v>
      </c>
      <c r="B564">
        <v>684</v>
      </c>
      <c r="C564">
        <v>12</v>
      </c>
      <c r="D564">
        <v>20000</v>
      </c>
      <c r="E564">
        <v>60.3</v>
      </c>
      <c r="F564">
        <v>1</v>
      </c>
      <c r="G564">
        <v>240000</v>
      </c>
    </row>
    <row r="565" spans="1:7">
      <c r="A565">
        <v>25</v>
      </c>
      <c r="B565">
        <v>300</v>
      </c>
      <c r="C565">
        <v>12</v>
      </c>
      <c r="D565">
        <v>20000</v>
      </c>
      <c r="E565">
        <v>60.3</v>
      </c>
      <c r="F565">
        <v>1</v>
      </c>
      <c r="G565">
        <v>240000</v>
      </c>
    </row>
    <row r="566" spans="1:7">
      <c r="A566">
        <v>20</v>
      </c>
      <c r="B566">
        <v>240</v>
      </c>
      <c r="C566">
        <v>12</v>
      </c>
      <c r="D566">
        <v>5500</v>
      </c>
      <c r="E566">
        <v>60.3</v>
      </c>
      <c r="F566">
        <v>1</v>
      </c>
      <c r="G566">
        <v>66000</v>
      </c>
    </row>
    <row r="567" spans="1:7">
      <c r="A567">
        <v>18</v>
      </c>
      <c r="B567">
        <v>216</v>
      </c>
      <c r="C567">
        <v>12</v>
      </c>
      <c r="D567">
        <v>1500</v>
      </c>
      <c r="E567">
        <v>60.3</v>
      </c>
      <c r="F567">
        <v>0</v>
      </c>
      <c r="G567">
        <v>18000</v>
      </c>
    </row>
    <row r="568" spans="1:7">
      <c r="A568">
        <v>39</v>
      </c>
      <c r="B568">
        <v>585</v>
      </c>
      <c r="C568">
        <v>15</v>
      </c>
      <c r="D568">
        <v>30000</v>
      </c>
      <c r="E568">
        <v>60.3</v>
      </c>
      <c r="F568">
        <v>0</v>
      </c>
      <c r="G568">
        <v>450000</v>
      </c>
    </row>
    <row r="569" spans="1:7">
      <c r="A569">
        <v>43</v>
      </c>
      <c r="B569">
        <v>516</v>
      </c>
      <c r="C569">
        <v>12</v>
      </c>
      <c r="D569">
        <v>30000</v>
      </c>
      <c r="E569">
        <v>60.3</v>
      </c>
      <c r="F569">
        <v>0</v>
      </c>
      <c r="G569">
        <v>360000</v>
      </c>
    </row>
    <row r="570" spans="1:7">
      <c r="A570">
        <v>40</v>
      </c>
      <c r="B570">
        <v>480</v>
      </c>
      <c r="C570">
        <v>12</v>
      </c>
      <c r="D570">
        <v>20000</v>
      </c>
      <c r="E570">
        <v>60.3</v>
      </c>
      <c r="F570">
        <v>0</v>
      </c>
      <c r="G570">
        <v>240000</v>
      </c>
    </row>
    <row r="571" spans="1:7">
      <c r="A571">
        <v>26</v>
      </c>
      <c r="B571">
        <v>312</v>
      </c>
      <c r="C571">
        <v>12</v>
      </c>
      <c r="D571">
        <v>8500</v>
      </c>
      <c r="E571">
        <v>60.3</v>
      </c>
      <c r="F571">
        <v>0</v>
      </c>
      <c r="G571">
        <v>102000</v>
      </c>
    </row>
    <row r="572" spans="1:7">
      <c r="A572">
        <v>24</v>
      </c>
      <c r="B572">
        <v>192</v>
      </c>
      <c r="C572">
        <v>8</v>
      </c>
      <c r="D572">
        <v>5500</v>
      </c>
      <c r="E572">
        <v>60.3</v>
      </c>
      <c r="F572">
        <v>1</v>
      </c>
      <c r="G572">
        <v>44000</v>
      </c>
    </row>
    <row r="573" spans="1:7">
      <c r="A573">
        <v>72</v>
      </c>
      <c r="B573">
        <v>720</v>
      </c>
      <c r="C573">
        <v>10</v>
      </c>
      <c r="D573">
        <v>6500</v>
      </c>
      <c r="E573">
        <v>60.3</v>
      </c>
      <c r="F573">
        <v>1</v>
      </c>
      <c r="G573">
        <v>65000</v>
      </c>
    </row>
    <row r="574" spans="1:7">
      <c r="A574">
        <v>57</v>
      </c>
      <c r="B574">
        <v>570</v>
      </c>
      <c r="C574">
        <v>10</v>
      </c>
      <c r="D574">
        <v>20000</v>
      </c>
      <c r="E574">
        <v>60.3</v>
      </c>
      <c r="F574">
        <v>0</v>
      </c>
      <c r="G574">
        <v>200000</v>
      </c>
    </row>
    <row r="575" spans="1:7">
      <c r="A575">
        <v>33</v>
      </c>
      <c r="B575">
        <v>495</v>
      </c>
      <c r="C575">
        <v>15</v>
      </c>
      <c r="D575">
        <v>20000</v>
      </c>
      <c r="E575">
        <v>60.3</v>
      </c>
      <c r="F575">
        <v>1</v>
      </c>
      <c r="G575">
        <v>300000</v>
      </c>
    </row>
    <row r="576" spans="1:7">
      <c r="A576">
        <v>58</v>
      </c>
      <c r="B576">
        <v>580</v>
      </c>
      <c r="C576">
        <v>10</v>
      </c>
      <c r="D576">
        <v>20000</v>
      </c>
      <c r="E576">
        <v>60.3</v>
      </c>
      <c r="F576">
        <v>0</v>
      </c>
      <c r="G576">
        <v>200000</v>
      </c>
    </row>
    <row r="577" spans="1:7">
      <c r="A577">
        <v>31</v>
      </c>
      <c r="B577">
        <v>372</v>
      </c>
      <c r="C577">
        <v>12</v>
      </c>
      <c r="D577">
        <v>20000</v>
      </c>
      <c r="E577">
        <v>60.3</v>
      </c>
      <c r="F577">
        <v>0</v>
      </c>
      <c r="G577">
        <v>240000</v>
      </c>
    </row>
    <row r="578" spans="1:7">
      <c r="A578">
        <v>21</v>
      </c>
      <c r="B578">
        <v>252</v>
      </c>
      <c r="C578">
        <v>12</v>
      </c>
      <c r="D578">
        <v>30000</v>
      </c>
      <c r="E578">
        <v>60.3</v>
      </c>
      <c r="F578">
        <v>1</v>
      </c>
      <c r="G578">
        <v>360000</v>
      </c>
    </row>
    <row r="579" spans="1:7">
      <c r="A579">
        <v>23</v>
      </c>
      <c r="B579">
        <v>310.5</v>
      </c>
      <c r="C579">
        <v>13.5</v>
      </c>
      <c r="D579">
        <v>4500</v>
      </c>
      <c r="E579">
        <v>60.3</v>
      </c>
      <c r="F579">
        <v>0</v>
      </c>
      <c r="G579">
        <v>60750</v>
      </c>
    </row>
    <row r="580" spans="1:7">
      <c r="A580">
        <v>27</v>
      </c>
      <c r="B580">
        <v>270</v>
      </c>
      <c r="C580">
        <v>10</v>
      </c>
      <c r="D580">
        <v>30000</v>
      </c>
      <c r="E580">
        <v>60.3</v>
      </c>
      <c r="F580">
        <v>1</v>
      </c>
      <c r="G580">
        <v>300000</v>
      </c>
    </row>
    <row r="581" spans="1:7">
      <c r="A581">
        <v>59</v>
      </c>
      <c r="B581">
        <v>708</v>
      </c>
      <c r="C581">
        <v>12</v>
      </c>
      <c r="D581">
        <v>30000</v>
      </c>
      <c r="E581">
        <v>60.3</v>
      </c>
      <c r="F581">
        <v>0</v>
      </c>
      <c r="G581">
        <v>360000</v>
      </c>
    </row>
    <row r="582" spans="1:7">
      <c r="A582">
        <v>42</v>
      </c>
      <c r="B582">
        <v>252</v>
      </c>
      <c r="C582">
        <v>6</v>
      </c>
      <c r="D582">
        <v>20000</v>
      </c>
      <c r="E582">
        <v>60.3</v>
      </c>
      <c r="F582">
        <v>1</v>
      </c>
      <c r="G582">
        <v>120000</v>
      </c>
    </row>
    <row r="583" spans="1:7">
      <c r="A583">
        <v>60</v>
      </c>
      <c r="B583">
        <v>720</v>
      </c>
      <c r="C583">
        <v>12</v>
      </c>
      <c r="D583">
        <v>30000</v>
      </c>
      <c r="E583">
        <v>60.3</v>
      </c>
      <c r="F583">
        <v>0</v>
      </c>
      <c r="G583">
        <v>360000</v>
      </c>
    </row>
    <row r="584" spans="1:7">
      <c r="A584">
        <v>76</v>
      </c>
      <c r="B584">
        <v>912</v>
      </c>
      <c r="C584">
        <v>12</v>
      </c>
      <c r="D584">
        <v>6500</v>
      </c>
      <c r="E584">
        <v>60.3</v>
      </c>
      <c r="F584">
        <v>0</v>
      </c>
      <c r="G584">
        <v>78000</v>
      </c>
    </row>
    <row r="585" spans="1:7">
      <c r="A585">
        <v>62</v>
      </c>
      <c r="B585">
        <v>620</v>
      </c>
      <c r="C585">
        <v>10</v>
      </c>
      <c r="D585">
        <v>30000</v>
      </c>
      <c r="E585">
        <v>60.3</v>
      </c>
      <c r="F585">
        <v>1</v>
      </c>
      <c r="G585">
        <v>300000</v>
      </c>
    </row>
    <row r="586" spans="1:7">
      <c r="A586">
        <v>18</v>
      </c>
      <c r="B586">
        <v>216</v>
      </c>
      <c r="C586">
        <v>12</v>
      </c>
      <c r="D586">
        <v>3500</v>
      </c>
      <c r="E586">
        <v>63</v>
      </c>
      <c r="F586">
        <v>0</v>
      </c>
      <c r="G586">
        <v>42000</v>
      </c>
    </row>
    <row r="587" spans="1:7">
      <c r="A587">
        <v>65</v>
      </c>
      <c r="B587">
        <v>780</v>
      </c>
      <c r="C587">
        <v>12</v>
      </c>
      <c r="D587">
        <v>20000</v>
      </c>
      <c r="E587">
        <v>63</v>
      </c>
      <c r="F587">
        <v>0</v>
      </c>
      <c r="G587">
        <v>240000</v>
      </c>
    </row>
    <row r="588" spans="1:7">
      <c r="A588">
        <v>31</v>
      </c>
      <c r="B588">
        <v>418.5</v>
      </c>
      <c r="C588">
        <v>13.5</v>
      </c>
      <c r="D588">
        <v>12500</v>
      </c>
      <c r="E588">
        <v>63</v>
      </c>
      <c r="F588">
        <v>0</v>
      </c>
      <c r="G588">
        <v>168750</v>
      </c>
    </row>
    <row r="589" spans="1:7">
      <c r="A589">
        <v>67</v>
      </c>
      <c r="B589">
        <v>804</v>
      </c>
      <c r="C589">
        <v>12</v>
      </c>
      <c r="D589">
        <v>8500</v>
      </c>
      <c r="E589">
        <v>63</v>
      </c>
      <c r="F589">
        <v>0</v>
      </c>
      <c r="G589">
        <v>102000</v>
      </c>
    </row>
    <row r="590" spans="1:7">
      <c r="A590">
        <v>29</v>
      </c>
      <c r="B590">
        <v>290</v>
      </c>
      <c r="C590">
        <v>10</v>
      </c>
      <c r="D590">
        <v>12500</v>
      </c>
      <c r="E590">
        <v>63</v>
      </c>
      <c r="F590">
        <v>1</v>
      </c>
      <c r="G590">
        <v>125000</v>
      </c>
    </row>
    <row r="591" spans="1:7">
      <c r="A591">
        <v>74</v>
      </c>
      <c r="B591">
        <v>1110</v>
      </c>
      <c r="C591">
        <v>15</v>
      </c>
      <c r="D591">
        <v>20000</v>
      </c>
      <c r="E591">
        <v>63</v>
      </c>
      <c r="F591">
        <v>0</v>
      </c>
      <c r="G591">
        <v>300000</v>
      </c>
    </row>
    <row r="592" spans="1:7">
      <c r="A592">
        <v>42</v>
      </c>
      <c r="B592">
        <v>504</v>
      </c>
      <c r="C592">
        <v>12</v>
      </c>
      <c r="D592">
        <v>20000</v>
      </c>
      <c r="E592">
        <v>63</v>
      </c>
      <c r="F592">
        <v>0</v>
      </c>
      <c r="G592">
        <v>240000</v>
      </c>
    </row>
    <row r="593" spans="1:7">
      <c r="A593">
        <v>56</v>
      </c>
      <c r="B593">
        <v>560</v>
      </c>
      <c r="C593">
        <v>10</v>
      </c>
      <c r="D593">
        <v>20000</v>
      </c>
      <c r="E593">
        <v>63</v>
      </c>
      <c r="F593">
        <v>1</v>
      </c>
      <c r="G593">
        <v>200000</v>
      </c>
    </row>
    <row r="594" spans="1:7">
      <c r="A594">
        <v>30</v>
      </c>
      <c r="B594">
        <v>480</v>
      </c>
      <c r="C594">
        <v>16</v>
      </c>
      <c r="D594">
        <v>20000</v>
      </c>
      <c r="E594">
        <v>63</v>
      </c>
      <c r="F594">
        <v>1</v>
      </c>
      <c r="G594">
        <v>320000</v>
      </c>
    </row>
    <row r="595" spans="1:7">
      <c r="A595">
        <v>53</v>
      </c>
      <c r="B595">
        <v>715.5</v>
      </c>
      <c r="C595">
        <v>13.5</v>
      </c>
      <c r="D595">
        <v>20000</v>
      </c>
      <c r="E595">
        <v>63</v>
      </c>
      <c r="F595">
        <v>0</v>
      </c>
      <c r="G595">
        <v>270000</v>
      </c>
    </row>
    <row r="596" spans="1:7">
      <c r="A596">
        <v>31</v>
      </c>
      <c r="B596">
        <v>496</v>
      </c>
      <c r="C596">
        <v>16</v>
      </c>
      <c r="D596">
        <v>30000</v>
      </c>
      <c r="E596">
        <v>63</v>
      </c>
      <c r="F596">
        <v>0</v>
      </c>
      <c r="G596">
        <v>480000</v>
      </c>
    </row>
    <row r="597" spans="1:7">
      <c r="A597">
        <v>17</v>
      </c>
      <c r="B597">
        <v>170</v>
      </c>
      <c r="C597">
        <v>10</v>
      </c>
      <c r="D597">
        <v>30000</v>
      </c>
      <c r="E597">
        <v>63</v>
      </c>
      <c r="F597">
        <v>0</v>
      </c>
      <c r="G597">
        <v>300000</v>
      </c>
    </row>
    <row r="598" spans="1:7">
      <c r="A598">
        <v>25</v>
      </c>
      <c r="B598">
        <v>337.5</v>
      </c>
      <c r="C598">
        <v>13.5</v>
      </c>
      <c r="D598">
        <v>30000</v>
      </c>
      <c r="E598">
        <v>63</v>
      </c>
      <c r="F598">
        <v>0</v>
      </c>
      <c r="G598">
        <v>405000</v>
      </c>
    </row>
    <row r="599" spans="1:7">
      <c r="A599">
        <v>36</v>
      </c>
      <c r="B599">
        <v>648</v>
      </c>
      <c r="C599">
        <v>18</v>
      </c>
      <c r="D599">
        <v>30000</v>
      </c>
      <c r="E599">
        <v>63</v>
      </c>
      <c r="F599">
        <v>0</v>
      </c>
      <c r="G599">
        <v>540000</v>
      </c>
    </row>
    <row r="600" spans="1:7">
      <c r="A600">
        <v>38</v>
      </c>
      <c r="B600">
        <v>456</v>
      </c>
      <c r="C600">
        <v>12</v>
      </c>
      <c r="D600">
        <v>30000</v>
      </c>
      <c r="E600">
        <v>63</v>
      </c>
      <c r="F600">
        <v>1</v>
      </c>
      <c r="G600">
        <v>360000</v>
      </c>
    </row>
    <row r="601" spans="1:7">
      <c r="A601">
        <v>37</v>
      </c>
      <c r="B601">
        <v>444</v>
      </c>
      <c r="C601">
        <v>12</v>
      </c>
      <c r="D601">
        <v>30000</v>
      </c>
      <c r="E601">
        <v>59.7</v>
      </c>
      <c r="F601">
        <v>1</v>
      </c>
      <c r="G601">
        <v>360000</v>
      </c>
    </row>
    <row r="602" spans="1:7">
      <c r="A602">
        <v>22</v>
      </c>
      <c r="B602">
        <v>297</v>
      </c>
      <c r="C602">
        <v>13.5</v>
      </c>
      <c r="D602">
        <v>20000</v>
      </c>
      <c r="E602">
        <v>59.7</v>
      </c>
      <c r="F602">
        <v>1</v>
      </c>
      <c r="G602">
        <v>270000</v>
      </c>
    </row>
    <row r="603" spans="1:7">
      <c r="A603">
        <v>58</v>
      </c>
      <c r="B603">
        <v>783</v>
      </c>
      <c r="C603">
        <v>13.5</v>
      </c>
      <c r="D603">
        <v>30000</v>
      </c>
      <c r="E603">
        <v>59.7</v>
      </c>
      <c r="F603">
        <v>0</v>
      </c>
      <c r="G603">
        <v>405000</v>
      </c>
    </row>
    <row r="604" spans="1:7">
      <c r="A604">
        <v>50</v>
      </c>
      <c r="B604">
        <v>300</v>
      </c>
      <c r="C604">
        <v>6</v>
      </c>
      <c r="D604">
        <v>1500</v>
      </c>
      <c r="E604">
        <v>57.3</v>
      </c>
      <c r="F604">
        <v>1</v>
      </c>
      <c r="G604">
        <v>9000</v>
      </c>
    </row>
    <row r="605" spans="1:7">
      <c r="A605">
        <v>33</v>
      </c>
      <c r="B605">
        <v>495</v>
      </c>
      <c r="C605">
        <v>15</v>
      </c>
      <c r="D605">
        <v>20000</v>
      </c>
      <c r="E605">
        <v>57.3</v>
      </c>
      <c r="F605">
        <v>0</v>
      </c>
      <c r="G605">
        <v>300000</v>
      </c>
    </row>
    <row r="606" spans="1:7">
      <c r="A606">
        <v>35</v>
      </c>
      <c r="B606">
        <v>350</v>
      </c>
      <c r="C606">
        <v>10</v>
      </c>
      <c r="D606">
        <v>20000</v>
      </c>
      <c r="E606">
        <v>57.3</v>
      </c>
      <c r="F606">
        <v>0</v>
      </c>
      <c r="G606">
        <v>200000</v>
      </c>
    </row>
    <row r="607" spans="1:7">
      <c r="A607">
        <v>35</v>
      </c>
      <c r="B607">
        <v>350</v>
      </c>
      <c r="C607">
        <v>10</v>
      </c>
      <c r="D607">
        <v>20000</v>
      </c>
      <c r="E607">
        <v>57.3</v>
      </c>
      <c r="F607">
        <v>0</v>
      </c>
      <c r="G607">
        <v>200000</v>
      </c>
    </row>
    <row r="608" spans="1:7">
      <c r="A608">
        <v>70</v>
      </c>
      <c r="B608">
        <v>840</v>
      </c>
      <c r="C608">
        <v>12</v>
      </c>
      <c r="D608">
        <v>12500</v>
      </c>
      <c r="E608">
        <v>57.3</v>
      </c>
      <c r="F608">
        <v>1</v>
      </c>
      <c r="G608">
        <v>150000</v>
      </c>
    </row>
    <row r="609" spans="1:7">
      <c r="A609">
        <v>58</v>
      </c>
      <c r="B609">
        <v>696</v>
      </c>
      <c r="C609">
        <v>12</v>
      </c>
      <c r="D609">
        <v>20000</v>
      </c>
      <c r="E609">
        <v>57.3</v>
      </c>
      <c r="F609">
        <v>0</v>
      </c>
      <c r="G609">
        <v>240000</v>
      </c>
    </row>
    <row r="610" spans="1:7">
      <c r="A610">
        <v>54</v>
      </c>
      <c r="B610">
        <v>648</v>
      </c>
      <c r="C610">
        <v>12</v>
      </c>
      <c r="D610">
        <v>30000</v>
      </c>
      <c r="E610">
        <v>57.3</v>
      </c>
      <c r="F610">
        <v>0</v>
      </c>
      <c r="G610">
        <v>360000</v>
      </c>
    </row>
    <row r="611" spans="1:7">
      <c r="A611">
        <v>23</v>
      </c>
      <c r="B611">
        <v>276</v>
      </c>
      <c r="C611">
        <v>12</v>
      </c>
      <c r="D611">
        <v>20000</v>
      </c>
      <c r="E611">
        <v>57.3</v>
      </c>
      <c r="F611">
        <v>1</v>
      </c>
      <c r="G611">
        <v>240000</v>
      </c>
    </row>
    <row r="612" spans="1:7">
      <c r="A612">
        <v>51</v>
      </c>
      <c r="B612">
        <v>612</v>
      </c>
      <c r="C612">
        <v>12</v>
      </c>
      <c r="D612">
        <v>30000</v>
      </c>
      <c r="E612">
        <v>57.3</v>
      </c>
      <c r="F612">
        <v>0</v>
      </c>
      <c r="G612">
        <v>360000</v>
      </c>
    </row>
    <row r="613" spans="1:7">
      <c r="A613">
        <v>51</v>
      </c>
      <c r="B613">
        <v>408</v>
      </c>
      <c r="C613">
        <v>8</v>
      </c>
      <c r="D613">
        <v>12500</v>
      </c>
      <c r="E613">
        <v>57.3</v>
      </c>
      <c r="F613">
        <v>1</v>
      </c>
      <c r="G613">
        <v>100000</v>
      </c>
    </row>
    <row r="614" spans="1:7">
      <c r="A614">
        <v>56</v>
      </c>
      <c r="B614">
        <v>672</v>
      </c>
      <c r="C614">
        <v>12</v>
      </c>
      <c r="D614">
        <v>20000</v>
      </c>
      <c r="E614">
        <v>57.3</v>
      </c>
      <c r="F614">
        <v>1</v>
      </c>
      <c r="G614">
        <v>240000</v>
      </c>
    </row>
    <row r="615" spans="1:7">
      <c r="A615">
        <v>27</v>
      </c>
      <c r="B615">
        <v>324</v>
      </c>
      <c r="C615">
        <v>12</v>
      </c>
      <c r="D615">
        <v>20000</v>
      </c>
      <c r="E615">
        <v>57.3</v>
      </c>
      <c r="F615">
        <v>1</v>
      </c>
      <c r="G615">
        <v>240000</v>
      </c>
    </row>
    <row r="616" spans="1:7">
      <c r="A616">
        <v>25</v>
      </c>
      <c r="B616">
        <v>300</v>
      </c>
      <c r="C616">
        <v>12</v>
      </c>
      <c r="D616">
        <v>12500</v>
      </c>
      <c r="E616">
        <v>57.3</v>
      </c>
      <c r="F616">
        <v>0</v>
      </c>
      <c r="G616">
        <v>150000</v>
      </c>
    </row>
    <row r="617" spans="1:7">
      <c r="A617">
        <v>72</v>
      </c>
      <c r="B617">
        <v>720</v>
      </c>
      <c r="C617">
        <v>10</v>
      </c>
      <c r="D617">
        <v>8500</v>
      </c>
      <c r="E617">
        <v>57.3</v>
      </c>
      <c r="F617">
        <v>0</v>
      </c>
      <c r="G617">
        <v>85000</v>
      </c>
    </row>
    <row r="618" spans="1:7">
      <c r="A618">
        <v>51</v>
      </c>
      <c r="B618">
        <v>408</v>
      </c>
      <c r="C618">
        <v>8</v>
      </c>
      <c r="D618">
        <v>20000</v>
      </c>
      <c r="E618">
        <v>57.3</v>
      </c>
      <c r="F618">
        <v>1</v>
      </c>
      <c r="G618">
        <v>160000</v>
      </c>
    </row>
    <row r="619" spans="1:7">
      <c r="A619">
        <v>44</v>
      </c>
      <c r="B619">
        <v>704</v>
      </c>
      <c r="C619">
        <v>16</v>
      </c>
      <c r="D619">
        <v>30000</v>
      </c>
      <c r="E619">
        <v>57.3</v>
      </c>
      <c r="F619">
        <v>0</v>
      </c>
      <c r="G619">
        <v>480000</v>
      </c>
    </row>
    <row r="620" spans="1:7">
      <c r="A620">
        <v>72</v>
      </c>
      <c r="B620">
        <v>1296</v>
      </c>
      <c r="C620">
        <v>18</v>
      </c>
      <c r="D620">
        <v>12500</v>
      </c>
      <c r="E620">
        <v>57.3</v>
      </c>
      <c r="F620">
        <v>0</v>
      </c>
      <c r="G620">
        <v>225000</v>
      </c>
    </row>
    <row r="621" spans="1:7">
      <c r="A621">
        <v>43</v>
      </c>
      <c r="B621">
        <v>516</v>
      </c>
      <c r="C621">
        <v>12</v>
      </c>
      <c r="D621">
        <v>30000</v>
      </c>
      <c r="E621">
        <v>57.3</v>
      </c>
      <c r="F621">
        <v>1</v>
      </c>
      <c r="G621">
        <v>360000</v>
      </c>
    </row>
    <row r="622" spans="1:7">
      <c r="A622">
        <v>33</v>
      </c>
      <c r="B622">
        <v>396</v>
      </c>
      <c r="C622">
        <v>12</v>
      </c>
      <c r="D622">
        <v>30000</v>
      </c>
      <c r="E622">
        <v>57.3</v>
      </c>
      <c r="F622">
        <v>0</v>
      </c>
      <c r="G622">
        <v>360000</v>
      </c>
    </row>
    <row r="623" spans="1:7">
      <c r="A623">
        <v>67</v>
      </c>
      <c r="B623">
        <v>536</v>
      </c>
      <c r="C623">
        <v>8</v>
      </c>
      <c r="D623">
        <v>6500</v>
      </c>
      <c r="E623">
        <v>57.3</v>
      </c>
      <c r="F623">
        <v>0</v>
      </c>
      <c r="G623">
        <v>52000</v>
      </c>
    </row>
    <row r="624" spans="1:7">
      <c r="A624">
        <v>71</v>
      </c>
      <c r="B624">
        <v>568</v>
      </c>
      <c r="C624">
        <v>8</v>
      </c>
      <c r="D624">
        <v>2500</v>
      </c>
      <c r="E624">
        <v>57.3</v>
      </c>
      <c r="F624">
        <v>1</v>
      </c>
      <c r="G624">
        <v>20000</v>
      </c>
    </row>
    <row r="625" spans="1:7">
      <c r="A625">
        <v>84</v>
      </c>
      <c r="B625">
        <v>1134</v>
      </c>
      <c r="C625">
        <v>13.5</v>
      </c>
      <c r="D625">
        <v>20000</v>
      </c>
      <c r="E625">
        <v>57.3</v>
      </c>
      <c r="F625">
        <v>0</v>
      </c>
      <c r="G625">
        <v>270000</v>
      </c>
    </row>
    <row r="626" spans="1:7">
      <c r="A626">
        <v>41</v>
      </c>
      <c r="B626">
        <v>492</v>
      </c>
      <c r="C626">
        <v>12</v>
      </c>
      <c r="D626">
        <v>30000</v>
      </c>
      <c r="E626">
        <v>57.3</v>
      </c>
      <c r="F626">
        <v>1</v>
      </c>
      <c r="G626">
        <v>360000</v>
      </c>
    </row>
    <row r="627" spans="1:7">
      <c r="A627">
        <v>32</v>
      </c>
      <c r="B627">
        <v>320</v>
      </c>
      <c r="C627">
        <v>10</v>
      </c>
      <c r="D627">
        <v>20000</v>
      </c>
      <c r="E627">
        <v>57.3</v>
      </c>
      <c r="F627">
        <v>1</v>
      </c>
      <c r="G627">
        <v>200000</v>
      </c>
    </row>
    <row r="628" spans="1:7">
      <c r="A628">
        <v>51</v>
      </c>
      <c r="B628">
        <v>408</v>
      </c>
      <c r="C628">
        <v>8</v>
      </c>
      <c r="D628">
        <v>4500</v>
      </c>
      <c r="E628">
        <v>57.3</v>
      </c>
      <c r="F628">
        <v>0</v>
      </c>
      <c r="G628">
        <v>36000</v>
      </c>
    </row>
    <row r="629" spans="1:7">
      <c r="A629">
        <v>46</v>
      </c>
      <c r="B629">
        <v>828</v>
      </c>
      <c r="C629">
        <v>18</v>
      </c>
      <c r="D629">
        <v>20000</v>
      </c>
      <c r="E629">
        <v>57.3</v>
      </c>
      <c r="F629">
        <v>0</v>
      </c>
      <c r="G629">
        <v>360000</v>
      </c>
    </row>
    <row r="630" spans="1:7">
      <c r="A630">
        <v>25</v>
      </c>
      <c r="B630">
        <v>450</v>
      </c>
      <c r="C630">
        <v>18</v>
      </c>
      <c r="D630">
        <v>12500</v>
      </c>
      <c r="E630">
        <v>57.3</v>
      </c>
      <c r="F630">
        <v>0</v>
      </c>
      <c r="G630">
        <v>225000</v>
      </c>
    </row>
    <row r="631" spans="1:7">
      <c r="A631">
        <v>18</v>
      </c>
      <c r="B631">
        <v>216</v>
      </c>
      <c r="C631">
        <v>12</v>
      </c>
      <c r="D631">
        <v>8500</v>
      </c>
      <c r="E631">
        <v>57.3</v>
      </c>
      <c r="F631">
        <v>1</v>
      </c>
      <c r="G631">
        <v>102000</v>
      </c>
    </row>
    <row r="632" spans="1:7">
      <c r="A632">
        <v>58</v>
      </c>
      <c r="B632">
        <v>696</v>
      </c>
      <c r="C632">
        <v>12</v>
      </c>
      <c r="D632">
        <v>30000</v>
      </c>
      <c r="E632">
        <v>57.3</v>
      </c>
      <c r="F632">
        <v>0</v>
      </c>
      <c r="G632">
        <v>360000</v>
      </c>
    </row>
    <row r="633" spans="1:7">
      <c r="A633">
        <v>35</v>
      </c>
      <c r="B633">
        <v>420</v>
      </c>
      <c r="C633">
        <v>12</v>
      </c>
      <c r="D633">
        <v>30000</v>
      </c>
      <c r="E633">
        <v>57.3</v>
      </c>
      <c r="F633">
        <v>1</v>
      </c>
      <c r="G633">
        <v>360000</v>
      </c>
    </row>
    <row r="634" spans="1:7">
      <c r="A634">
        <v>30</v>
      </c>
      <c r="B634">
        <v>360</v>
      </c>
      <c r="C634">
        <v>12</v>
      </c>
      <c r="D634">
        <v>30000</v>
      </c>
      <c r="E634">
        <v>57.3</v>
      </c>
      <c r="F634">
        <v>1</v>
      </c>
      <c r="G634">
        <v>360000</v>
      </c>
    </row>
    <row r="635" spans="1:7">
      <c r="A635">
        <v>31</v>
      </c>
      <c r="B635">
        <v>372</v>
      </c>
      <c r="C635">
        <v>12</v>
      </c>
      <c r="D635">
        <v>12500</v>
      </c>
      <c r="E635">
        <v>57.3</v>
      </c>
      <c r="F635">
        <v>1</v>
      </c>
      <c r="G635">
        <v>150000</v>
      </c>
    </row>
    <row r="636" spans="1:7">
      <c r="A636">
        <v>19</v>
      </c>
      <c r="B636">
        <v>228</v>
      </c>
      <c r="C636">
        <v>12</v>
      </c>
      <c r="D636">
        <v>12500</v>
      </c>
      <c r="E636">
        <v>59.5</v>
      </c>
      <c r="F636">
        <v>0</v>
      </c>
      <c r="G636">
        <v>150000</v>
      </c>
    </row>
    <row r="637" spans="1:7">
      <c r="A637">
        <v>40</v>
      </c>
      <c r="B637">
        <v>480</v>
      </c>
      <c r="C637">
        <v>12</v>
      </c>
      <c r="D637">
        <v>30000</v>
      </c>
      <c r="E637">
        <v>59.5</v>
      </c>
      <c r="F637">
        <v>0</v>
      </c>
      <c r="G637">
        <v>360000</v>
      </c>
    </row>
    <row r="638" spans="1:7">
      <c r="A638">
        <v>45</v>
      </c>
      <c r="B638">
        <v>450</v>
      </c>
      <c r="C638">
        <v>10</v>
      </c>
      <c r="D638">
        <v>12500</v>
      </c>
      <c r="E638">
        <v>59.5</v>
      </c>
      <c r="F638">
        <v>1</v>
      </c>
      <c r="G638">
        <v>125000</v>
      </c>
    </row>
    <row r="639" spans="1:7">
      <c r="A639">
        <v>18</v>
      </c>
      <c r="B639">
        <v>180</v>
      </c>
      <c r="C639">
        <v>10</v>
      </c>
      <c r="D639">
        <v>30000</v>
      </c>
      <c r="E639">
        <v>59.5</v>
      </c>
      <c r="F639">
        <v>0</v>
      </c>
      <c r="G639">
        <v>300000</v>
      </c>
    </row>
    <row r="640" spans="1:7">
      <c r="A640">
        <v>71</v>
      </c>
      <c r="B640">
        <v>1278</v>
      </c>
      <c r="C640">
        <v>18</v>
      </c>
      <c r="D640">
        <v>12500</v>
      </c>
      <c r="E640">
        <v>63.1</v>
      </c>
      <c r="F640">
        <v>0</v>
      </c>
      <c r="G640">
        <v>225000</v>
      </c>
    </row>
    <row r="641" spans="1:7">
      <c r="A641">
        <v>61</v>
      </c>
      <c r="B641">
        <v>610</v>
      </c>
      <c r="C641">
        <v>10</v>
      </c>
      <c r="D641">
        <v>20000</v>
      </c>
      <c r="E641">
        <v>63.1</v>
      </c>
      <c r="F641">
        <v>0</v>
      </c>
      <c r="G641">
        <v>200000</v>
      </c>
    </row>
    <row r="642" spans="1:7">
      <c r="A642">
        <v>33</v>
      </c>
      <c r="B642">
        <v>396</v>
      </c>
      <c r="C642">
        <v>12</v>
      </c>
      <c r="D642">
        <v>30000</v>
      </c>
      <c r="E642">
        <v>63.1</v>
      </c>
      <c r="F642">
        <v>1</v>
      </c>
      <c r="G642">
        <v>360000</v>
      </c>
    </row>
    <row r="643" spans="1:7">
      <c r="A643">
        <v>45</v>
      </c>
      <c r="B643">
        <v>810</v>
      </c>
      <c r="C643">
        <v>18</v>
      </c>
      <c r="D643">
        <v>30000</v>
      </c>
      <c r="E643">
        <v>55.3</v>
      </c>
      <c r="F643">
        <v>0</v>
      </c>
      <c r="G643">
        <v>540000</v>
      </c>
    </row>
    <row r="644" spans="1:7">
      <c r="A644">
        <v>36</v>
      </c>
      <c r="B644">
        <v>648</v>
      </c>
      <c r="C644">
        <v>18</v>
      </c>
      <c r="D644">
        <v>30000</v>
      </c>
      <c r="E644">
        <v>55.3</v>
      </c>
      <c r="F644">
        <v>0</v>
      </c>
      <c r="G644">
        <v>540000</v>
      </c>
    </row>
    <row r="645" spans="1:7">
      <c r="A645">
        <v>24</v>
      </c>
      <c r="B645">
        <v>324</v>
      </c>
      <c r="C645">
        <v>13.5</v>
      </c>
      <c r="D645">
        <v>20000</v>
      </c>
      <c r="E645">
        <v>55.3</v>
      </c>
      <c r="F645">
        <v>1</v>
      </c>
      <c r="G645">
        <v>270000</v>
      </c>
    </row>
    <row r="646" spans="1:7">
      <c r="A646">
        <v>32</v>
      </c>
      <c r="B646">
        <v>512</v>
      </c>
      <c r="C646">
        <v>16</v>
      </c>
      <c r="D646">
        <v>12500</v>
      </c>
      <c r="E646">
        <v>55.3</v>
      </c>
      <c r="F646">
        <v>1</v>
      </c>
      <c r="G646">
        <v>200000</v>
      </c>
    </row>
    <row r="647" spans="1:7">
      <c r="A647">
        <v>58</v>
      </c>
      <c r="B647">
        <v>696</v>
      </c>
      <c r="C647">
        <v>12</v>
      </c>
      <c r="D647">
        <v>20000</v>
      </c>
      <c r="E647">
        <v>66.400000000000006</v>
      </c>
      <c r="F647">
        <v>0</v>
      </c>
      <c r="G647">
        <v>240000</v>
      </c>
    </row>
    <row r="648" spans="1:7">
      <c r="A648">
        <v>61</v>
      </c>
      <c r="B648">
        <v>732</v>
      </c>
      <c r="C648">
        <v>12</v>
      </c>
      <c r="D648">
        <v>30000</v>
      </c>
      <c r="E648">
        <v>66.400000000000006</v>
      </c>
      <c r="F648">
        <v>1</v>
      </c>
      <c r="G648">
        <v>360000</v>
      </c>
    </row>
    <row r="649" spans="1:7">
      <c r="A649">
        <v>70</v>
      </c>
      <c r="B649">
        <v>1120</v>
      </c>
      <c r="C649">
        <v>16</v>
      </c>
      <c r="D649">
        <v>30000</v>
      </c>
      <c r="E649">
        <v>66.400000000000006</v>
      </c>
      <c r="F649">
        <v>0</v>
      </c>
      <c r="G649">
        <v>480000</v>
      </c>
    </row>
    <row r="650" spans="1:7">
      <c r="A650">
        <v>55</v>
      </c>
      <c r="B650">
        <v>880</v>
      </c>
      <c r="C650">
        <v>16</v>
      </c>
      <c r="D650">
        <v>30000</v>
      </c>
      <c r="E650">
        <v>66.400000000000006</v>
      </c>
      <c r="F650">
        <v>0</v>
      </c>
      <c r="G650">
        <v>480000</v>
      </c>
    </row>
    <row r="651" spans="1:7">
      <c r="A651">
        <v>25</v>
      </c>
      <c r="B651">
        <v>337.5</v>
      </c>
      <c r="C651">
        <v>13.5</v>
      </c>
      <c r="D651">
        <v>30000</v>
      </c>
      <c r="E651">
        <v>66.400000000000006</v>
      </c>
      <c r="F651">
        <v>1</v>
      </c>
      <c r="G651">
        <v>405000</v>
      </c>
    </row>
    <row r="652" spans="1:7">
      <c r="A652">
        <v>67</v>
      </c>
      <c r="B652">
        <v>402</v>
      </c>
      <c r="C652">
        <v>6</v>
      </c>
      <c r="D652">
        <v>12500</v>
      </c>
      <c r="E652">
        <v>66.400000000000006</v>
      </c>
      <c r="F652">
        <v>0</v>
      </c>
      <c r="G652">
        <v>75000</v>
      </c>
    </row>
    <row r="653" spans="1:7">
      <c r="A653">
        <v>38</v>
      </c>
      <c r="B653">
        <v>456</v>
      </c>
      <c r="C653">
        <v>12</v>
      </c>
      <c r="D653">
        <v>20000</v>
      </c>
      <c r="E653">
        <v>66.400000000000006</v>
      </c>
      <c r="F653">
        <v>0</v>
      </c>
      <c r="G653">
        <v>240000</v>
      </c>
    </row>
    <row r="654" spans="1:7">
      <c r="A654">
        <v>65</v>
      </c>
      <c r="B654">
        <v>650</v>
      </c>
      <c r="C654">
        <v>10</v>
      </c>
      <c r="D654">
        <v>30000</v>
      </c>
      <c r="E654">
        <v>66.400000000000006</v>
      </c>
      <c r="F654">
        <v>0</v>
      </c>
      <c r="G654">
        <v>300000</v>
      </c>
    </row>
    <row r="655" spans="1:7">
      <c r="A655">
        <v>41</v>
      </c>
      <c r="B655">
        <v>553.5</v>
      </c>
      <c r="C655">
        <v>13.5</v>
      </c>
      <c r="D655">
        <v>30000</v>
      </c>
      <c r="E655">
        <v>66.400000000000006</v>
      </c>
      <c r="F655">
        <v>0</v>
      </c>
      <c r="G655">
        <v>405000</v>
      </c>
    </row>
    <row r="656" spans="1:7">
      <c r="A656">
        <v>29</v>
      </c>
      <c r="B656">
        <v>464</v>
      </c>
      <c r="C656">
        <v>16</v>
      </c>
      <c r="D656">
        <v>30000</v>
      </c>
      <c r="E656">
        <v>66.400000000000006</v>
      </c>
      <c r="F656">
        <v>1</v>
      </c>
      <c r="G656">
        <v>480000</v>
      </c>
    </row>
    <row r="657" spans="1:7">
      <c r="A657">
        <v>23</v>
      </c>
      <c r="B657">
        <v>368</v>
      </c>
      <c r="C657">
        <v>16</v>
      </c>
      <c r="D657">
        <v>12500</v>
      </c>
      <c r="E657">
        <v>66.400000000000006</v>
      </c>
      <c r="F657">
        <v>0</v>
      </c>
      <c r="G657">
        <v>200000</v>
      </c>
    </row>
    <row r="658" spans="1:7">
      <c r="A658">
        <v>67</v>
      </c>
      <c r="B658">
        <v>402</v>
      </c>
      <c r="C658">
        <v>6</v>
      </c>
      <c r="D658">
        <v>4500</v>
      </c>
      <c r="E658">
        <v>66.400000000000006</v>
      </c>
      <c r="F658">
        <v>0</v>
      </c>
      <c r="G658">
        <v>27000</v>
      </c>
    </row>
    <row r="659" spans="1:7">
      <c r="A659">
        <v>32</v>
      </c>
      <c r="B659">
        <v>512</v>
      </c>
      <c r="C659">
        <v>16</v>
      </c>
      <c r="D659">
        <v>12500</v>
      </c>
      <c r="E659">
        <v>66.400000000000006</v>
      </c>
      <c r="F659">
        <v>0</v>
      </c>
      <c r="G659">
        <v>200000</v>
      </c>
    </row>
    <row r="660" spans="1:7">
      <c r="A660">
        <v>69</v>
      </c>
      <c r="B660">
        <v>828</v>
      </c>
      <c r="C660">
        <v>12</v>
      </c>
      <c r="D660">
        <v>8500</v>
      </c>
      <c r="E660">
        <v>66.400000000000006</v>
      </c>
      <c r="F660">
        <v>1</v>
      </c>
      <c r="G660">
        <v>102000</v>
      </c>
    </row>
    <row r="661" spans="1:7">
      <c r="A661">
        <v>18</v>
      </c>
      <c r="B661">
        <v>180</v>
      </c>
      <c r="C661">
        <v>10</v>
      </c>
      <c r="D661">
        <v>6500</v>
      </c>
      <c r="E661">
        <v>66.400000000000006</v>
      </c>
      <c r="F661">
        <v>0</v>
      </c>
      <c r="G661">
        <v>65000</v>
      </c>
    </row>
    <row r="662" spans="1:7">
      <c r="A662">
        <v>50</v>
      </c>
      <c r="B662">
        <v>600</v>
      </c>
      <c r="C662">
        <v>12</v>
      </c>
      <c r="D662">
        <v>20000</v>
      </c>
      <c r="E662">
        <v>66.400000000000006</v>
      </c>
      <c r="F662">
        <v>1</v>
      </c>
      <c r="G662">
        <v>240000</v>
      </c>
    </row>
    <row r="663" spans="1:7">
      <c r="A663">
        <v>31</v>
      </c>
      <c r="B663">
        <v>372</v>
      </c>
      <c r="C663">
        <v>12</v>
      </c>
      <c r="D663">
        <v>12500</v>
      </c>
      <c r="E663">
        <v>66.400000000000006</v>
      </c>
      <c r="F663">
        <v>1</v>
      </c>
      <c r="G663">
        <v>150000</v>
      </c>
    </row>
    <row r="664" spans="1:7">
      <c r="A664">
        <v>55</v>
      </c>
      <c r="B664">
        <v>660</v>
      </c>
      <c r="C664">
        <v>12</v>
      </c>
      <c r="D664">
        <v>20000</v>
      </c>
      <c r="E664">
        <v>66.400000000000006</v>
      </c>
      <c r="F664">
        <v>0</v>
      </c>
      <c r="G664">
        <v>240000</v>
      </c>
    </row>
    <row r="665" spans="1:7">
      <c r="A665">
        <v>39</v>
      </c>
      <c r="B665">
        <v>312</v>
      </c>
      <c r="C665">
        <v>8</v>
      </c>
      <c r="D665">
        <v>12500</v>
      </c>
      <c r="E665">
        <v>66.400000000000006</v>
      </c>
      <c r="F665">
        <v>0</v>
      </c>
      <c r="G665">
        <v>100000</v>
      </c>
    </row>
    <row r="666" spans="1:7">
      <c r="A666">
        <v>51</v>
      </c>
      <c r="B666">
        <v>612</v>
      </c>
      <c r="C666">
        <v>12</v>
      </c>
      <c r="D666">
        <v>30000</v>
      </c>
      <c r="E666">
        <v>66.400000000000006</v>
      </c>
      <c r="F666">
        <v>0</v>
      </c>
      <c r="G666">
        <v>360000</v>
      </c>
    </row>
    <row r="667" spans="1:7">
      <c r="A667">
        <v>66</v>
      </c>
      <c r="B667">
        <v>528</v>
      </c>
      <c r="C667">
        <v>8</v>
      </c>
      <c r="D667">
        <v>20000</v>
      </c>
      <c r="E667">
        <v>66.400000000000006</v>
      </c>
      <c r="F667">
        <v>0</v>
      </c>
      <c r="G667">
        <v>160000</v>
      </c>
    </row>
    <row r="668" spans="1:7">
      <c r="A668">
        <v>73</v>
      </c>
      <c r="B668">
        <v>584</v>
      </c>
      <c r="C668">
        <v>8</v>
      </c>
      <c r="D668">
        <v>8500</v>
      </c>
      <c r="E668">
        <v>66.400000000000006</v>
      </c>
      <c r="F668">
        <v>0</v>
      </c>
      <c r="G668">
        <v>68000</v>
      </c>
    </row>
    <row r="669" spans="1:7">
      <c r="A669">
        <v>28</v>
      </c>
      <c r="B669">
        <v>378</v>
      </c>
      <c r="C669">
        <v>13.5</v>
      </c>
      <c r="D669">
        <v>8500</v>
      </c>
      <c r="E669">
        <v>66.400000000000006</v>
      </c>
      <c r="F669">
        <v>1</v>
      </c>
      <c r="G669">
        <v>114750</v>
      </c>
    </row>
    <row r="670" spans="1:7">
      <c r="A670">
        <v>20</v>
      </c>
      <c r="B670">
        <v>300</v>
      </c>
      <c r="C670">
        <v>15</v>
      </c>
      <c r="D670">
        <v>30000</v>
      </c>
      <c r="E670">
        <v>66.400000000000006</v>
      </c>
      <c r="F670">
        <v>0</v>
      </c>
      <c r="G670">
        <v>450000</v>
      </c>
    </row>
    <row r="671" spans="1:7">
      <c r="A671">
        <v>60</v>
      </c>
      <c r="B671">
        <v>810</v>
      </c>
      <c r="C671">
        <v>13.5</v>
      </c>
      <c r="D671">
        <v>20000</v>
      </c>
      <c r="E671">
        <v>66.400000000000006</v>
      </c>
      <c r="F671">
        <v>0</v>
      </c>
      <c r="G671">
        <v>270000</v>
      </c>
    </row>
    <row r="672" spans="1:7">
      <c r="A672">
        <v>19</v>
      </c>
      <c r="B672">
        <v>228</v>
      </c>
      <c r="C672">
        <v>12</v>
      </c>
      <c r="D672">
        <v>30000</v>
      </c>
      <c r="E672">
        <v>66.400000000000006</v>
      </c>
      <c r="F672">
        <v>0</v>
      </c>
      <c r="G672">
        <v>360000</v>
      </c>
    </row>
    <row r="673" spans="1:7">
      <c r="A673">
        <v>56</v>
      </c>
      <c r="B673">
        <v>1008</v>
      </c>
      <c r="C673">
        <v>18</v>
      </c>
      <c r="D673">
        <v>30000</v>
      </c>
      <c r="E673">
        <v>66.400000000000006</v>
      </c>
      <c r="F673">
        <v>0</v>
      </c>
      <c r="G673">
        <v>540000</v>
      </c>
    </row>
    <row r="674" spans="1:7">
      <c r="A674">
        <v>23</v>
      </c>
      <c r="B674">
        <v>310.5</v>
      </c>
      <c r="C674">
        <v>13.5</v>
      </c>
      <c r="D674">
        <v>12500</v>
      </c>
      <c r="E674">
        <v>66.400000000000006</v>
      </c>
      <c r="F674">
        <v>0</v>
      </c>
      <c r="G674">
        <v>168750</v>
      </c>
    </row>
    <row r="675" spans="1:7">
      <c r="A675">
        <v>17</v>
      </c>
      <c r="B675">
        <v>170</v>
      </c>
      <c r="C675">
        <v>10</v>
      </c>
      <c r="D675">
        <v>30000</v>
      </c>
      <c r="E675">
        <v>66.400000000000006</v>
      </c>
      <c r="F675">
        <v>1</v>
      </c>
      <c r="G675">
        <v>300000</v>
      </c>
    </row>
    <row r="676" spans="1:7">
      <c r="A676">
        <v>67</v>
      </c>
      <c r="B676">
        <v>402</v>
      </c>
      <c r="C676">
        <v>6</v>
      </c>
      <c r="D676">
        <v>12500</v>
      </c>
      <c r="E676">
        <v>66.400000000000006</v>
      </c>
      <c r="F676">
        <v>1</v>
      </c>
      <c r="G676">
        <v>75000</v>
      </c>
    </row>
    <row r="677" spans="1:7">
      <c r="A677">
        <v>53</v>
      </c>
      <c r="B677">
        <v>636</v>
      </c>
      <c r="C677">
        <v>12</v>
      </c>
      <c r="D677">
        <v>30000</v>
      </c>
      <c r="E677">
        <v>66.400000000000006</v>
      </c>
      <c r="F677">
        <v>0</v>
      </c>
      <c r="G677">
        <v>360000</v>
      </c>
    </row>
    <row r="678" spans="1:7">
      <c r="A678">
        <v>65</v>
      </c>
      <c r="B678">
        <v>162.5</v>
      </c>
      <c r="C678">
        <v>2.5</v>
      </c>
      <c r="D678">
        <v>6500</v>
      </c>
      <c r="E678">
        <v>66.400000000000006</v>
      </c>
      <c r="F678">
        <v>1</v>
      </c>
      <c r="G678">
        <v>16250</v>
      </c>
    </row>
    <row r="679" spans="1:7">
      <c r="A679">
        <v>59</v>
      </c>
      <c r="B679">
        <v>708</v>
      </c>
      <c r="C679">
        <v>12</v>
      </c>
      <c r="D679">
        <v>12500</v>
      </c>
      <c r="E679">
        <v>66.400000000000006</v>
      </c>
      <c r="F679">
        <v>0</v>
      </c>
      <c r="G679">
        <v>150000</v>
      </c>
    </row>
    <row r="680" spans="1:7">
      <c r="A680">
        <v>35</v>
      </c>
      <c r="B680">
        <v>420</v>
      </c>
      <c r="C680">
        <v>12</v>
      </c>
      <c r="D680">
        <v>20000</v>
      </c>
      <c r="E680">
        <v>66.400000000000006</v>
      </c>
      <c r="F680">
        <v>0</v>
      </c>
      <c r="G680">
        <v>240000</v>
      </c>
    </row>
    <row r="681" spans="1:7">
      <c r="A681">
        <v>28</v>
      </c>
      <c r="B681">
        <v>420</v>
      </c>
      <c r="C681">
        <v>15</v>
      </c>
      <c r="D681">
        <v>30000</v>
      </c>
      <c r="E681">
        <v>66.400000000000006</v>
      </c>
      <c r="F681">
        <v>1</v>
      </c>
      <c r="G681">
        <v>450000</v>
      </c>
    </row>
    <row r="682" spans="1:7">
      <c r="A682">
        <v>42</v>
      </c>
      <c r="B682">
        <v>504</v>
      </c>
      <c r="C682">
        <v>12</v>
      </c>
      <c r="D682">
        <v>8500</v>
      </c>
      <c r="E682">
        <v>66.400000000000006</v>
      </c>
      <c r="F682">
        <v>0</v>
      </c>
      <c r="G682">
        <v>102000</v>
      </c>
    </row>
    <row r="683" spans="1:7">
      <c r="A683">
        <v>27</v>
      </c>
      <c r="B683">
        <v>486</v>
      </c>
      <c r="C683">
        <v>18</v>
      </c>
      <c r="D683">
        <v>30000</v>
      </c>
      <c r="E683">
        <v>66.400000000000006</v>
      </c>
      <c r="F683">
        <v>0</v>
      </c>
      <c r="G683">
        <v>540000</v>
      </c>
    </row>
    <row r="684" spans="1:7">
      <c r="A684">
        <v>53</v>
      </c>
      <c r="B684">
        <v>848</v>
      </c>
      <c r="C684">
        <v>16</v>
      </c>
      <c r="D684">
        <v>20000</v>
      </c>
      <c r="E684">
        <v>66.400000000000006</v>
      </c>
      <c r="F684">
        <v>0</v>
      </c>
      <c r="G684">
        <v>320000</v>
      </c>
    </row>
    <row r="685" spans="1:7">
      <c r="A685">
        <v>32</v>
      </c>
      <c r="B685">
        <v>384</v>
      </c>
      <c r="C685">
        <v>12</v>
      </c>
      <c r="D685">
        <v>20000</v>
      </c>
      <c r="E685">
        <v>66.400000000000006</v>
      </c>
      <c r="F685">
        <v>1</v>
      </c>
      <c r="G685">
        <v>240000</v>
      </c>
    </row>
    <row r="686" spans="1:7">
      <c r="A686">
        <v>33</v>
      </c>
      <c r="B686">
        <v>445.5</v>
      </c>
      <c r="C686">
        <v>13.5</v>
      </c>
      <c r="D686">
        <v>20000</v>
      </c>
      <c r="E686">
        <v>66.400000000000006</v>
      </c>
      <c r="F686">
        <v>0</v>
      </c>
      <c r="G686">
        <v>270000</v>
      </c>
    </row>
    <row r="687" spans="1:7">
      <c r="A687">
        <v>50</v>
      </c>
      <c r="B687">
        <v>400</v>
      </c>
      <c r="C687">
        <v>8</v>
      </c>
      <c r="D687">
        <v>8500</v>
      </c>
      <c r="E687">
        <v>66.400000000000006</v>
      </c>
      <c r="F687">
        <v>0</v>
      </c>
      <c r="G687">
        <v>68000</v>
      </c>
    </row>
    <row r="688" spans="1:7">
      <c r="A688">
        <v>32</v>
      </c>
      <c r="B688">
        <v>384</v>
      </c>
      <c r="C688">
        <v>12</v>
      </c>
      <c r="D688">
        <v>20000</v>
      </c>
      <c r="E688">
        <v>66.400000000000006</v>
      </c>
      <c r="F688">
        <v>1</v>
      </c>
      <c r="G688">
        <v>240000</v>
      </c>
    </row>
    <row r="689" spans="1:7">
      <c r="A689">
        <v>31</v>
      </c>
      <c r="B689">
        <v>558</v>
      </c>
      <c r="C689">
        <v>18</v>
      </c>
      <c r="D689">
        <v>20000</v>
      </c>
      <c r="E689">
        <v>66.400000000000006</v>
      </c>
      <c r="F689">
        <v>0</v>
      </c>
      <c r="G689">
        <v>360000</v>
      </c>
    </row>
    <row r="690" spans="1:7">
      <c r="A690">
        <v>24</v>
      </c>
      <c r="B690">
        <v>288</v>
      </c>
      <c r="C690">
        <v>12</v>
      </c>
      <c r="D690">
        <v>20000</v>
      </c>
      <c r="E690">
        <v>66.400000000000006</v>
      </c>
      <c r="F690">
        <v>0</v>
      </c>
      <c r="G690">
        <v>240000</v>
      </c>
    </row>
    <row r="691" spans="1:7">
      <c r="A691">
        <v>25</v>
      </c>
      <c r="B691">
        <v>400</v>
      </c>
      <c r="C691">
        <v>16</v>
      </c>
      <c r="D691">
        <v>20000</v>
      </c>
      <c r="E691">
        <v>66.400000000000006</v>
      </c>
      <c r="F691">
        <v>0</v>
      </c>
      <c r="G691">
        <v>320000</v>
      </c>
    </row>
    <row r="692" spans="1:7">
      <c r="A692">
        <v>56</v>
      </c>
      <c r="B692">
        <v>672</v>
      </c>
      <c r="C692">
        <v>12</v>
      </c>
      <c r="D692">
        <v>8500</v>
      </c>
      <c r="E692">
        <v>66.400000000000006</v>
      </c>
      <c r="F692">
        <v>0</v>
      </c>
      <c r="G692">
        <v>102000</v>
      </c>
    </row>
    <row r="693" spans="1:7">
      <c r="A693">
        <v>31</v>
      </c>
      <c r="B693">
        <v>372</v>
      </c>
      <c r="C693">
        <v>12</v>
      </c>
      <c r="D693">
        <v>20000</v>
      </c>
      <c r="E693">
        <v>66.400000000000006</v>
      </c>
      <c r="F693">
        <v>1</v>
      </c>
      <c r="G693">
        <v>240000</v>
      </c>
    </row>
    <row r="694" spans="1:7">
      <c r="A694">
        <v>49</v>
      </c>
      <c r="B694">
        <v>490</v>
      </c>
      <c r="C694">
        <v>10</v>
      </c>
      <c r="D694">
        <v>20000</v>
      </c>
      <c r="E694">
        <v>66.400000000000006</v>
      </c>
      <c r="F694">
        <v>1</v>
      </c>
      <c r="G694">
        <v>200000</v>
      </c>
    </row>
    <row r="695" spans="1:7">
      <c r="A695">
        <v>25</v>
      </c>
      <c r="B695">
        <v>250</v>
      </c>
      <c r="C695">
        <v>10</v>
      </c>
      <c r="D695">
        <v>30000</v>
      </c>
      <c r="E695">
        <v>66.400000000000006</v>
      </c>
      <c r="F695">
        <v>1</v>
      </c>
      <c r="G695">
        <v>300000</v>
      </c>
    </row>
    <row r="696" spans="1:7">
      <c r="A696">
        <v>75</v>
      </c>
      <c r="B696">
        <v>1350</v>
      </c>
      <c r="C696">
        <v>18</v>
      </c>
      <c r="D696">
        <v>30000</v>
      </c>
      <c r="E696">
        <v>66.400000000000006</v>
      </c>
      <c r="F696">
        <v>0</v>
      </c>
      <c r="G696">
        <v>540000</v>
      </c>
    </row>
    <row r="697" spans="1:7">
      <c r="A697">
        <v>28</v>
      </c>
      <c r="B697">
        <v>378</v>
      </c>
      <c r="C697">
        <v>13.5</v>
      </c>
      <c r="D697">
        <v>12500</v>
      </c>
      <c r="E697">
        <v>66.400000000000006</v>
      </c>
      <c r="F697">
        <v>1</v>
      </c>
      <c r="G697">
        <v>168750</v>
      </c>
    </row>
    <row r="698" spans="1:7">
      <c r="A698">
        <v>25</v>
      </c>
      <c r="B698">
        <v>300</v>
      </c>
      <c r="C698">
        <v>12</v>
      </c>
      <c r="D698">
        <v>8500</v>
      </c>
      <c r="E698">
        <v>62.6</v>
      </c>
      <c r="F698">
        <v>1</v>
      </c>
      <c r="G698">
        <v>102000</v>
      </c>
    </row>
    <row r="699" spans="1:7">
      <c r="A699">
        <v>25</v>
      </c>
      <c r="B699">
        <v>300</v>
      </c>
      <c r="C699">
        <v>12</v>
      </c>
      <c r="D699">
        <v>20000</v>
      </c>
      <c r="E699">
        <v>62.6</v>
      </c>
      <c r="F699">
        <v>0</v>
      </c>
      <c r="G699">
        <v>240000</v>
      </c>
    </row>
    <row r="700" spans="1:7">
      <c r="A700">
        <v>39</v>
      </c>
      <c r="B700">
        <v>702</v>
      </c>
      <c r="C700">
        <v>18</v>
      </c>
      <c r="D700">
        <v>30000</v>
      </c>
      <c r="E700">
        <v>62.6</v>
      </c>
      <c r="F700">
        <v>0</v>
      </c>
      <c r="G700">
        <v>540000</v>
      </c>
    </row>
    <row r="701" spans="1:7">
      <c r="A701">
        <v>84</v>
      </c>
      <c r="B701">
        <v>0</v>
      </c>
      <c r="C701">
        <v>0</v>
      </c>
      <c r="D701">
        <v>4500</v>
      </c>
      <c r="E701">
        <v>64.400000000000006</v>
      </c>
      <c r="F701">
        <v>0</v>
      </c>
      <c r="G701">
        <v>0</v>
      </c>
    </row>
    <row r="702" spans="1:7">
      <c r="A702">
        <v>75</v>
      </c>
      <c r="B702">
        <v>750</v>
      </c>
      <c r="C702">
        <v>10</v>
      </c>
      <c r="D702">
        <v>8500</v>
      </c>
      <c r="E702">
        <v>64.400000000000006</v>
      </c>
      <c r="F702">
        <v>0</v>
      </c>
      <c r="G702">
        <v>85000</v>
      </c>
    </row>
    <row r="703" spans="1:7">
      <c r="A703">
        <v>62</v>
      </c>
      <c r="B703">
        <v>496</v>
      </c>
      <c r="C703">
        <v>8</v>
      </c>
      <c r="D703">
        <v>30000</v>
      </c>
      <c r="E703">
        <v>64.400000000000006</v>
      </c>
      <c r="F703">
        <v>0</v>
      </c>
      <c r="G703">
        <v>240000</v>
      </c>
    </row>
    <row r="704" spans="1:7">
      <c r="A704">
        <v>36</v>
      </c>
      <c r="B704">
        <v>648</v>
      </c>
      <c r="C704">
        <v>18</v>
      </c>
      <c r="D704">
        <v>30000</v>
      </c>
      <c r="E704">
        <v>64.400000000000006</v>
      </c>
      <c r="F704">
        <v>0</v>
      </c>
      <c r="G704">
        <v>540000</v>
      </c>
    </row>
    <row r="705" spans="1:7">
      <c r="A705">
        <v>41</v>
      </c>
      <c r="B705">
        <v>492</v>
      </c>
      <c r="C705">
        <v>12</v>
      </c>
      <c r="D705">
        <v>30000</v>
      </c>
      <c r="E705">
        <v>64.400000000000006</v>
      </c>
      <c r="F705">
        <v>0</v>
      </c>
      <c r="G705">
        <v>360000</v>
      </c>
    </row>
    <row r="706" spans="1:7">
      <c r="A706">
        <v>45</v>
      </c>
      <c r="B706">
        <v>450</v>
      </c>
      <c r="C706">
        <v>10</v>
      </c>
      <c r="D706">
        <v>20000</v>
      </c>
      <c r="E706">
        <v>64.400000000000006</v>
      </c>
      <c r="F706">
        <v>1</v>
      </c>
      <c r="G706">
        <v>200000</v>
      </c>
    </row>
    <row r="707" spans="1:7">
      <c r="A707">
        <v>23</v>
      </c>
      <c r="B707">
        <v>276</v>
      </c>
      <c r="C707">
        <v>12</v>
      </c>
      <c r="D707">
        <v>20000</v>
      </c>
      <c r="E707">
        <v>64.400000000000006</v>
      </c>
      <c r="F707">
        <v>1</v>
      </c>
      <c r="G707">
        <v>240000</v>
      </c>
    </row>
    <row r="708" spans="1:7">
      <c r="A708">
        <v>42</v>
      </c>
      <c r="B708">
        <v>672</v>
      </c>
      <c r="C708">
        <v>16</v>
      </c>
      <c r="D708">
        <v>30000</v>
      </c>
      <c r="E708">
        <v>64.400000000000006</v>
      </c>
      <c r="F708">
        <v>0</v>
      </c>
      <c r="G708">
        <v>480000</v>
      </c>
    </row>
    <row r="709" spans="1:7">
      <c r="A709">
        <v>49</v>
      </c>
      <c r="B709">
        <v>588</v>
      </c>
      <c r="C709">
        <v>12</v>
      </c>
      <c r="D709">
        <v>20000</v>
      </c>
      <c r="E709">
        <v>64.400000000000006</v>
      </c>
      <c r="F709">
        <v>1</v>
      </c>
      <c r="G709">
        <v>240000</v>
      </c>
    </row>
    <row r="710" spans="1:7">
      <c r="A710">
        <v>64</v>
      </c>
      <c r="B710">
        <v>768</v>
      </c>
      <c r="C710">
        <v>12</v>
      </c>
      <c r="D710">
        <v>12500</v>
      </c>
      <c r="E710">
        <v>64.400000000000006</v>
      </c>
      <c r="F710">
        <v>0</v>
      </c>
      <c r="G710">
        <v>150000</v>
      </c>
    </row>
    <row r="711" spans="1:7">
      <c r="A711">
        <v>19</v>
      </c>
      <c r="B711">
        <v>152</v>
      </c>
      <c r="C711">
        <v>8</v>
      </c>
      <c r="D711">
        <v>8500</v>
      </c>
      <c r="E711">
        <v>64.400000000000006</v>
      </c>
      <c r="F711">
        <v>1</v>
      </c>
      <c r="G711">
        <v>68000</v>
      </c>
    </row>
    <row r="712" spans="1:7">
      <c r="A712">
        <v>58</v>
      </c>
      <c r="B712">
        <v>696</v>
      </c>
      <c r="C712">
        <v>12</v>
      </c>
      <c r="D712">
        <v>12500</v>
      </c>
      <c r="E712">
        <v>64.400000000000006</v>
      </c>
      <c r="F712">
        <v>1</v>
      </c>
      <c r="G712">
        <v>150000</v>
      </c>
    </row>
    <row r="713" spans="1:7">
      <c r="A713">
        <v>24</v>
      </c>
      <c r="B713">
        <v>288</v>
      </c>
      <c r="C713">
        <v>12</v>
      </c>
      <c r="D713">
        <v>20000</v>
      </c>
      <c r="E713">
        <v>64.400000000000006</v>
      </c>
      <c r="F713">
        <v>0</v>
      </c>
      <c r="G713">
        <v>240000</v>
      </c>
    </row>
    <row r="714" spans="1:7">
      <c r="A714">
        <v>32</v>
      </c>
      <c r="B714">
        <v>512</v>
      </c>
      <c r="C714">
        <v>16</v>
      </c>
      <c r="D714">
        <v>20000</v>
      </c>
      <c r="E714">
        <v>64.400000000000006</v>
      </c>
      <c r="F714">
        <v>0</v>
      </c>
      <c r="G714">
        <v>320000</v>
      </c>
    </row>
    <row r="715" spans="1:7">
      <c r="A715">
        <v>64</v>
      </c>
      <c r="B715">
        <v>512</v>
      </c>
      <c r="C715">
        <v>8</v>
      </c>
      <c r="D715">
        <v>12500</v>
      </c>
      <c r="E715">
        <v>64.400000000000006</v>
      </c>
      <c r="F715">
        <v>1</v>
      </c>
      <c r="G715">
        <v>100000</v>
      </c>
    </row>
    <row r="716" spans="1:7">
      <c r="A716">
        <v>60</v>
      </c>
      <c r="B716">
        <v>720</v>
      </c>
      <c r="C716">
        <v>12</v>
      </c>
      <c r="D716">
        <v>4500</v>
      </c>
      <c r="E716">
        <v>64.400000000000006</v>
      </c>
      <c r="F716">
        <v>0</v>
      </c>
      <c r="G716">
        <v>54000</v>
      </c>
    </row>
    <row r="717" spans="1:7">
      <c r="A717">
        <v>75</v>
      </c>
      <c r="B717">
        <v>900</v>
      </c>
      <c r="C717">
        <v>12</v>
      </c>
      <c r="D717">
        <v>12500</v>
      </c>
      <c r="E717">
        <v>64.400000000000006</v>
      </c>
      <c r="F717">
        <v>0</v>
      </c>
      <c r="G717">
        <v>150000</v>
      </c>
    </row>
    <row r="718" spans="1:7">
      <c r="A718">
        <v>48</v>
      </c>
      <c r="B718">
        <v>576</v>
      </c>
      <c r="C718">
        <v>12</v>
      </c>
      <c r="D718">
        <v>30000</v>
      </c>
      <c r="E718">
        <v>64.400000000000006</v>
      </c>
      <c r="F718">
        <v>1</v>
      </c>
      <c r="G718">
        <v>360000</v>
      </c>
    </row>
    <row r="719" spans="1:7">
      <c r="A719">
        <v>29</v>
      </c>
      <c r="B719">
        <v>72.5</v>
      </c>
      <c r="C719">
        <v>2.5</v>
      </c>
      <c r="D719">
        <v>12500</v>
      </c>
      <c r="E719">
        <v>64.400000000000006</v>
      </c>
      <c r="F719">
        <v>0</v>
      </c>
      <c r="G719">
        <v>31250</v>
      </c>
    </row>
    <row r="720" spans="1:7">
      <c r="A720">
        <v>28</v>
      </c>
      <c r="B720">
        <v>336</v>
      </c>
      <c r="C720">
        <v>12</v>
      </c>
      <c r="D720">
        <v>30000</v>
      </c>
      <c r="E720">
        <v>64.400000000000006</v>
      </c>
      <c r="F720">
        <v>1</v>
      </c>
      <c r="G720">
        <v>360000</v>
      </c>
    </row>
    <row r="721" spans="1:7">
      <c r="A721">
        <v>53</v>
      </c>
      <c r="B721">
        <v>636</v>
      </c>
      <c r="C721">
        <v>12</v>
      </c>
      <c r="D721">
        <v>3500</v>
      </c>
      <c r="E721">
        <v>64.400000000000006</v>
      </c>
      <c r="F721">
        <v>0</v>
      </c>
      <c r="G721">
        <v>42000</v>
      </c>
    </row>
    <row r="722" spans="1:7">
      <c r="A722">
        <v>23</v>
      </c>
      <c r="B722">
        <v>276</v>
      </c>
      <c r="C722">
        <v>12</v>
      </c>
      <c r="D722">
        <v>30000</v>
      </c>
      <c r="E722">
        <v>64.400000000000006</v>
      </c>
      <c r="F722">
        <v>1</v>
      </c>
      <c r="G722">
        <v>360000</v>
      </c>
    </row>
    <row r="723" spans="1:7">
      <c r="A723">
        <v>57</v>
      </c>
      <c r="B723">
        <v>456</v>
      </c>
      <c r="C723">
        <v>8</v>
      </c>
      <c r="D723">
        <v>20000</v>
      </c>
      <c r="E723">
        <v>64.400000000000006</v>
      </c>
      <c r="F723">
        <v>1</v>
      </c>
      <c r="G723">
        <v>160000</v>
      </c>
    </row>
    <row r="724" spans="1:7">
      <c r="A724">
        <v>51</v>
      </c>
      <c r="B724">
        <v>612</v>
      </c>
      <c r="C724">
        <v>12</v>
      </c>
      <c r="D724">
        <v>20000</v>
      </c>
      <c r="E724">
        <v>64.400000000000006</v>
      </c>
      <c r="F724">
        <v>1</v>
      </c>
      <c r="G724">
        <v>240000</v>
      </c>
    </row>
    <row r="725" spans="1:7">
      <c r="A725">
        <v>64</v>
      </c>
      <c r="B725">
        <v>640</v>
      </c>
      <c r="C725">
        <v>10</v>
      </c>
      <c r="D725">
        <v>20000</v>
      </c>
      <c r="E725">
        <v>64.400000000000006</v>
      </c>
      <c r="F725">
        <v>0</v>
      </c>
      <c r="G725">
        <v>200000</v>
      </c>
    </row>
    <row r="726" spans="1:7">
      <c r="A726">
        <v>36</v>
      </c>
      <c r="B726">
        <v>486</v>
      </c>
      <c r="C726">
        <v>13.5</v>
      </c>
      <c r="D726">
        <v>30000</v>
      </c>
      <c r="E726">
        <v>64.400000000000006</v>
      </c>
      <c r="F726">
        <v>1</v>
      </c>
      <c r="G726">
        <v>405000</v>
      </c>
    </row>
    <row r="727" spans="1:7">
      <c r="A727">
        <v>56</v>
      </c>
      <c r="B727">
        <v>672</v>
      </c>
      <c r="C727">
        <v>12</v>
      </c>
      <c r="D727">
        <v>30000</v>
      </c>
      <c r="E727">
        <v>64.400000000000006</v>
      </c>
      <c r="F727">
        <v>1</v>
      </c>
      <c r="G727">
        <v>360000</v>
      </c>
    </row>
    <row r="728" spans="1:7">
      <c r="A728">
        <v>38</v>
      </c>
      <c r="B728">
        <v>456</v>
      </c>
      <c r="C728">
        <v>12</v>
      </c>
      <c r="D728">
        <v>3500</v>
      </c>
      <c r="E728">
        <v>64.400000000000006</v>
      </c>
      <c r="F728">
        <v>1</v>
      </c>
      <c r="G728">
        <v>42000</v>
      </c>
    </row>
    <row r="729" spans="1:7">
      <c r="A729">
        <v>79</v>
      </c>
      <c r="B729">
        <v>197.5</v>
      </c>
      <c r="C729">
        <v>2.5</v>
      </c>
      <c r="D729">
        <v>1500</v>
      </c>
      <c r="E729">
        <v>64.400000000000006</v>
      </c>
      <c r="F729">
        <v>0</v>
      </c>
      <c r="G729">
        <v>3750</v>
      </c>
    </row>
    <row r="730" spans="1:7">
      <c r="A730">
        <v>44</v>
      </c>
      <c r="B730">
        <v>528</v>
      </c>
      <c r="C730">
        <v>12</v>
      </c>
      <c r="D730">
        <v>20000</v>
      </c>
      <c r="E730">
        <v>64.400000000000006</v>
      </c>
      <c r="F730">
        <v>1</v>
      </c>
      <c r="G730">
        <v>240000</v>
      </c>
    </row>
    <row r="731" spans="1:7">
      <c r="A731">
        <v>25</v>
      </c>
      <c r="B731">
        <v>250</v>
      </c>
      <c r="C731">
        <v>10</v>
      </c>
      <c r="D731">
        <v>3500</v>
      </c>
      <c r="E731">
        <v>64.400000000000006</v>
      </c>
      <c r="F731">
        <v>1</v>
      </c>
      <c r="G731">
        <v>35000</v>
      </c>
    </row>
    <row r="732" spans="1:7">
      <c r="A732">
        <v>50</v>
      </c>
      <c r="B732">
        <v>900</v>
      </c>
      <c r="C732">
        <v>18</v>
      </c>
      <c r="D732">
        <v>30000</v>
      </c>
      <c r="E732">
        <v>64.400000000000006</v>
      </c>
      <c r="F732">
        <v>1</v>
      </c>
      <c r="G732">
        <v>540000</v>
      </c>
    </row>
    <row r="733" spans="1:7">
      <c r="A733">
        <v>24</v>
      </c>
      <c r="B733">
        <v>288</v>
      </c>
      <c r="C733">
        <v>12</v>
      </c>
      <c r="D733">
        <v>12500</v>
      </c>
      <c r="E733">
        <v>64.400000000000006</v>
      </c>
      <c r="F733">
        <v>1</v>
      </c>
      <c r="G733">
        <v>150000</v>
      </c>
    </row>
    <row r="734" spans="1:7">
      <c r="A734">
        <v>17</v>
      </c>
      <c r="B734">
        <v>170</v>
      </c>
      <c r="C734">
        <v>10</v>
      </c>
      <c r="D734">
        <v>20000</v>
      </c>
      <c r="E734">
        <v>64.400000000000006</v>
      </c>
      <c r="F734">
        <v>0</v>
      </c>
      <c r="G734">
        <v>200000</v>
      </c>
    </row>
    <row r="735" spans="1:7">
      <c r="A735">
        <v>23</v>
      </c>
      <c r="B735">
        <v>368</v>
      </c>
      <c r="C735">
        <v>16</v>
      </c>
      <c r="D735">
        <v>20000</v>
      </c>
      <c r="E735">
        <v>64.400000000000006</v>
      </c>
      <c r="F735">
        <v>0</v>
      </c>
      <c r="G735">
        <v>320000</v>
      </c>
    </row>
    <row r="736" spans="1:7">
      <c r="A736">
        <v>50</v>
      </c>
      <c r="B736">
        <v>675</v>
      </c>
      <c r="C736">
        <v>13.5</v>
      </c>
      <c r="D736">
        <v>12500</v>
      </c>
      <c r="E736">
        <v>64.400000000000006</v>
      </c>
      <c r="F736">
        <v>0</v>
      </c>
      <c r="G736">
        <v>168750</v>
      </c>
    </row>
    <row r="737" spans="1:7">
      <c r="A737">
        <v>18</v>
      </c>
      <c r="B737">
        <v>216</v>
      </c>
      <c r="C737">
        <v>12</v>
      </c>
      <c r="D737">
        <v>30000</v>
      </c>
      <c r="E737">
        <v>64.400000000000006</v>
      </c>
      <c r="F737">
        <v>0</v>
      </c>
      <c r="G737">
        <v>360000</v>
      </c>
    </row>
    <row r="738" spans="1:7">
      <c r="A738">
        <v>31</v>
      </c>
      <c r="B738">
        <v>310</v>
      </c>
      <c r="C738">
        <v>10</v>
      </c>
      <c r="D738">
        <v>12500</v>
      </c>
      <c r="E738">
        <v>64.400000000000006</v>
      </c>
      <c r="F738">
        <v>1</v>
      </c>
      <c r="G738">
        <v>125000</v>
      </c>
    </row>
    <row r="739" spans="1:7">
      <c r="A739">
        <v>30</v>
      </c>
      <c r="B739">
        <v>540</v>
      </c>
      <c r="C739">
        <v>18</v>
      </c>
      <c r="D739">
        <v>20000</v>
      </c>
      <c r="E739">
        <v>64.400000000000006</v>
      </c>
      <c r="F739">
        <v>0</v>
      </c>
      <c r="G739">
        <v>360000</v>
      </c>
    </row>
    <row r="740" spans="1:7">
      <c r="A740">
        <v>68</v>
      </c>
      <c r="B740">
        <v>918</v>
      </c>
      <c r="C740">
        <v>13.5</v>
      </c>
      <c r="D740">
        <v>30000</v>
      </c>
      <c r="E740">
        <v>64.400000000000006</v>
      </c>
      <c r="F740">
        <v>0</v>
      </c>
      <c r="G740">
        <v>405000</v>
      </c>
    </row>
    <row r="741" spans="1:7">
      <c r="A741">
        <v>26</v>
      </c>
      <c r="B741">
        <v>312</v>
      </c>
      <c r="C741">
        <v>12</v>
      </c>
      <c r="D741">
        <v>20000</v>
      </c>
      <c r="E741">
        <v>64.400000000000006</v>
      </c>
      <c r="F741">
        <v>0</v>
      </c>
      <c r="G741">
        <v>240000</v>
      </c>
    </row>
    <row r="742" spans="1:7">
      <c r="A742">
        <v>47</v>
      </c>
      <c r="B742">
        <v>282</v>
      </c>
      <c r="C742">
        <v>6</v>
      </c>
      <c r="D742">
        <v>12500</v>
      </c>
      <c r="E742">
        <v>64.400000000000006</v>
      </c>
      <c r="F742">
        <v>1</v>
      </c>
      <c r="G742">
        <v>75000</v>
      </c>
    </row>
    <row r="743" spans="1:7">
      <c r="A743">
        <v>62</v>
      </c>
      <c r="B743">
        <v>930</v>
      </c>
      <c r="C743">
        <v>15</v>
      </c>
      <c r="D743">
        <v>12500</v>
      </c>
      <c r="E743">
        <v>64.400000000000006</v>
      </c>
      <c r="F743">
        <v>0</v>
      </c>
      <c r="G743">
        <v>187500</v>
      </c>
    </row>
    <row r="744" spans="1:7">
      <c r="A744">
        <v>19</v>
      </c>
      <c r="B744">
        <v>228</v>
      </c>
      <c r="C744">
        <v>12</v>
      </c>
      <c r="D744">
        <v>20000</v>
      </c>
      <c r="E744">
        <v>64.400000000000006</v>
      </c>
      <c r="F744">
        <v>0</v>
      </c>
      <c r="G744">
        <v>240000</v>
      </c>
    </row>
    <row r="745" spans="1:7">
      <c r="A745">
        <v>57</v>
      </c>
      <c r="B745">
        <v>570</v>
      </c>
      <c r="C745">
        <v>10</v>
      </c>
      <c r="D745">
        <v>12500</v>
      </c>
      <c r="E745">
        <v>64.400000000000006</v>
      </c>
      <c r="F745">
        <v>0</v>
      </c>
      <c r="G745">
        <v>125000</v>
      </c>
    </row>
    <row r="746" spans="1:7">
      <c r="A746">
        <v>63</v>
      </c>
      <c r="B746">
        <v>1008</v>
      </c>
      <c r="C746">
        <v>16</v>
      </c>
      <c r="D746">
        <v>30000</v>
      </c>
      <c r="E746">
        <v>64.400000000000006</v>
      </c>
      <c r="F746">
        <v>0</v>
      </c>
      <c r="G746">
        <v>480000</v>
      </c>
    </row>
    <row r="747" spans="1:7">
      <c r="A747">
        <v>30</v>
      </c>
      <c r="B747">
        <v>480</v>
      </c>
      <c r="C747">
        <v>16</v>
      </c>
      <c r="D747">
        <v>30000</v>
      </c>
      <c r="E747">
        <v>64.400000000000006</v>
      </c>
      <c r="F747">
        <v>0</v>
      </c>
      <c r="G747">
        <v>480000</v>
      </c>
    </row>
    <row r="748" spans="1:7">
      <c r="A748">
        <v>34</v>
      </c>
      <c r="B748">
        <v>408</v>
      </c>
      <c r="C748">
        <v>12</v>
      </c>
      <c r="D748">
        <v>20000</v>
      </c>
      <c r="E748">
        <v>64.400000000000006</v>
      </c>
      <c r="F748">
        <v>1</v>
      </c>
      <c r="G748">
        <v>240000</v>
      </c>
    </row>
    <row r="749" spans="1:7">
      <c r="A749">
        <v>34</v>
      </c>
      <c r="B749">
        <v>612</v>
      </c>
      <c r="C749">
        <v>18</v>
      </c>
      <c r="D749">
        <v>30000</v>
      </c>
      <c r="E749">
        <v>64.400000000000006</v>
      </c>
      <c r="F749">
        <v>1</v>
      </c>
      <c r="G749">
        <v>540000</v>
      </c>
    </row>
    <row r="750" spans="1:7">
      <c r="A750">
        <v>38</v>
      </c>
      <c r="B750">
        <v>513</v>
      </c>
      <c r="C750">
        <v>13.5</v>
      </c>
      <c r="D750">
        <v>20000</v>
      </c>
      <c r="E750">
        <v>64.400000000000006</v>
      </c>
      <c r="F750">
        <v>1</v>
      </c>
      <c r="G750">
        <v>270000</v>
      </c>
    </row>
    <row r="751" spans="1:7">
      <c r="A751">
        <v>34</v>
      </c>
      <c r="B751">
        <v>408</v>
      </c>
      <c r="C751">
        <v>12</v>
      </c>
      <c r="D751">
        <v>20000</v>
      </c>
      <c r="E751">
        <v>64.400000000000006</v>
      </c>
      <c r="F751">
        <v>0</v>
      </c>
      <c r="G751">
        <v>240000</v>
      </c>
    </row>
    <row r="752" spans="1:7">
      <c r="A752">
        <v>43</v>
      </c>
      <c r="B752">
        <v>580.5</v>
      </c>
      <c r="C752">
        <v>13.5</v>
      </c>
      <c r="D752">
        <v>12500</v>
      </c>
      <c r="E752">
        <v>64.400000000000006</v>
      </c>
      <c r="F752">
        <v>0</v>
      </c>
      <c r="G752">
        <v>168750</v>
      </c>
    </row>
    <row r="753" spans="1:7">
      <c r="A753">
        <v>58</v>
      </c>
      <c r="B753">
        <v>928</v>
      </c>
      <c r="C753">
        <v>16</v>
      </c>
      <c r="D753">
        <v>30000</v>
      </c>
      <c r="E753">
        <v>64.400000000000006</v>
      </c>
      <c r="F753">
        <v>0</v>
      </c>
      <c r="G753">
        <v>480000</v>
      </c>
    </row>
    <row r="754" spans="1:7">
      <c r="A754">
        <v>45</v>
      </c>
      <c r="B754">
        <v>607.5</v>
      </c>
      <c r="C754">
        <v>13.5</v>
      </c>
      <c r="D754">
        <v>30000</v>
      </c>
      <c r="E754">
        <v>64.400000000000006</v>
      </c>
      <c r="F754">
        <v>1</v>
      </c>
      <c r="G754">
        <v>405000</v>
      </c>
    </row>
    <row r="755" spans="1:7">
      <c r="A755">
        <v>23</v>
      </c>
      <c r="B755">
        <v>310.5</v>
      </c>
      <c r="C755">
        <v>13.5</v>
      </c>
      <c r="D755">
        <v>12500</v>
      </c>
      <c r="E755">
        <v>64.400000000000006</v>
      </c>
      <c r="F755">
        <v>1</v>
      </c>
      <c r="G755">
        <v>168750</v>
      </c>
    </row>
    <row r="756" spans="1:7">
      <c r="A756">
        <v>28</v>
      </c>
      <c r="B756">
        <v>448</v>
      </c>
      <c r="C756">
        <v>16</v>
      </c>
      <c r="D756">
        <v>20000</v>
      </c>
      <c r="E756">
        <v>64.400000000000006</v>
      </c>
      <c r="F756">
        <v>1</v>
      </c>
      <c r="G756">
        <v>320000</v>
      </c>
    </row>
    <row r="757" spans="1:7">
      <c r="A757">
        <v>48</v>
      </c>
      <c r="B757">
        <v>480</v>
      </c>
      <c r="C757">
        <v>10</v>
      </c>
      <c r="D757">
        <v>20000</v>
      </c>
      <c r="E757">
        <v>64.400000000000006</v>
      </c>
      <c r="F757">
        <v>0</v>
      </c>
      <c r="G757">
        <v>200000</v>
      </c>
    </row>
    <row r="758" spans="1:7">
      <c r="A758">
        <v>28</v>
      </c>
      <c r="B758">
        <v>448</v>
      </c>
      <c r="C758">
        <v>16</v>
      </c>
      <c r="D758">
        <v>20000</v>
      </c>
      <c r="E758">
        <v>64.400000000000006</v>
      </c>
      <c r="F758">
        <v>0</v>
      </c>
      <c r="G758">
        <v>320000</v>
      </c>
    </row>
    <row r="759" spans="1:7">
      <c r="A759">
        <v>24</v>
      </c>
      <c r="B759">
        <v>288</v>
      </c>
      <c r="C759">
        <v>12</v>
      </c>
      <c r="D759">
        <v>8500</v>
      </c>
      <c r="E759">
        <v>64.400000000000006</v>
      </c>
      <c r="F759">
        <v>1</v>
      </c>
      <c r="G759">
        <v>102000</v>
      </c>
    </row>
    <row r="760" spans="1:7">
      <c r="A760">
        <v>35</v>
      </c>
      <c r="B760">
        <v>280</v>
      </c>
      <c r="C760">
        <v>8</v>
      </c>
      <c r="D760">
        <v>12500</v>
      </c>
      <c r="E760">
        <v>64.400000000000006</v>
      </c>
      <c r="F760">
        <v>1</v>
      </c>
      <c r="G760">
        <v>100000</v>
      </c>
    </row>
    <row r="761" spans="1:7">
      <c r="A761">
        <v>26</v>
      </c>
      <c r="B761">
        <v>351</v>
      </c>
      <c r="C761">
        <v>13.5</v>
      </c>
      <c r="D761">
        <v>12500</v>
      </c>
      <c r="E761">
        <v>64.400000000000006</v>
      </c>
      <c r="F761">
        <v>1</v>
      </c>
      <c r="G761">
        <v>168750</v>
      </c>
    </row>
    <row r="762" spans="1:7">
      <c r="A762">
        <v>27</v>
      </c>
      <c r="B762">
        <v>486</v>
      </c>
      <c r="C762">
        <v>18</v>
      </c>
      <c r="D762">
        <v>30000</v>
      </c>
      <c r="E762">
        <v>64.400000000000006</v>
      </c>
      <c r="F762">
        <v>0</v>
      </c>
      <c r="G762">
        <v>540000</v>
      </c>
    </row>
    <row r="763" spans="1:7">
      <c r="A763">
        <v>50</v>
      </c>
      <c r="B763">
        <v>800</v>
      </c>
      <c r="C763">
        <v>16</v>
      </c>
      <c r="D763">
        <v>30000</v>
      </c>
      <c r="E763">
        <v>64.400000000000006</v>
      </c>
      <c r="F763">
        <v>0</v>
      </c>
      <c r="G763">
        <v>480000</v>
      </c>
    </row>
    <row r="764" spans="1:7">
      <c r="A764">
        <v>59</v>
      </c>
      <c r="B764">
        <v>590</v>
      </c>
      <c r="C764">
        <v>10</v>
      </c>
      <c r="D764">
        <v>12500</v>
      </c>
      <c r="E764">
        <v>64.400000000000006</v>
      </c>
      <c r="F764">
        <v>0</v>
      </c>
      <c r="G764">
        <v>125000</v>
      </c>
    </row>
    <row r="765" spans="1:7">
      <c r="A765">
        <v>56</v>
      </c>
      <c r="B765">
        <v>560</v>
      </c>
      <c r="C765">
        <v>10</v>
      </c>
      <c r="D765">
        <v>20000</v>
      </c>
      <c r="E765">
        <v>64.400000000000006</v>
      </c>
      <c r="F765">
        <v>1</v>
      </c>
      <c r="G765">
        <v>200000</v>
      </c>
    </row>
    <row r="766" spans="1:7">
      <c r="A766">
        <v>59</v>
      </c>
      <c r="B766">
        <v>590</v>
      </c>
      <c r="C766">
        <v>10</v>
      </c>
      <c r="D766">
        <v>20000</v>
      </c>
      <c r="E766">
        <v>64.400000000000006</v>
      </c>
      <c r="F766">
        <v>1</v>
      </c>
      <c r="G766">
        <v>200000</v>
      </c>
    </row>
    <row r="767" spans="1:7">
      <c r="A767">
        <v>28</v>
      </c>
      <c r="B767">
        <v>224</v>
      </c>
      <c r="C767">
        <v>8</v>
      </c>
      <c r="D767">
        <v>12500</v>
      </c>
      <c r="E767">
        <v>64.400000000000006</v>
      </c>
      <c r="F767">
        <v>1</v>
      </c>
      <c r="G767">
        <v>100000</v>
      </c>
    </row>
    <row r="768" spans="1:7">
      <c r="A768">
        <v>51</v>
      </c>
      <c r="B768">
        <v>612</v>
      </c>
      <c r="C768">
        <v>12</v>
      </c>
      <c r="D768">
        <v>20000</v>
      </c>
      <c r="E768">
        <v>64.400000000000006</v>
      </c>
      <c r="F768">
        <v>0</v>
      </c>
      <c r="G768">
        <v>240000</v>
      </c>
    </row>
    <row r="769" spans="1:7">
      <c r="A769">
        <v>58</v>
      </c>
      <c r="B769">
        <v>783</v>
      </c>
      <c r="C769">
        <v>13.5</v>
      </c>
      <c r="D769">
        <v>20000</v>
      </c>
      <c r="E769">
        <v>64.400000000000006</v>
      </c>
      <c r="F769">
        <v>1</v>
      </c>
      <c r="G769">
        <v>270000</v>
      </c>
    </row>
    <row r="770" spans="1:7">
      <c r="A770">
        <v>47</v>
      </c>
      <c r="B770">
        <v>752</v>
      </c>
      <c r="C770">
        <v>16</v>
      </c>
      <c r="D770">
        <v>30000</v>
      </c>
      <c r="E770">
        <v>64.400000000000006</v>
      </c>
      <c r="F770">
        <v>1</v>
      </c>
      <c r="G770">
        <v>480000</v>
      </c>
    </row>
    <row r="771" spans="1:7">
      <c r="A771">
        <v>20</v>
      </c>
      <c r="B771">
        <v>240</v>
      </c>
      <c r="C771">
        <v>12</v>
      </c>
      <c r="D771">
        <v>30000</v>
      </c>
      <c r="E771">
        <v>64.400000000000006</v>
      </c>
      <c r="F771">
        <v>1</v>
      </c>
      <c r="G771">
        <v>360000</v>
      </c>
    </row>
    <row r="772" spans="1:7">
      <c r="A772">
        <v>33</v>
      </c>
      <c r="B772">
        <v>396</v>
      </c>
      <c r="C772">
        <v>12</v>
      </c>
      <c r="D772">
        <v>12500</v>
      </c>
      <c r="E772">
        <v>64.400000000000006</v>
      </c>
      <c r="F772">
        <v>0</v>
      </c>
      <c r="G772">
        <v>150000</v>
      </c>
    </row>
    <row r="773" spans="1:7">
      <c r="A773">
        <v>56</v>
      </c>
      <c r="B773">
        <v>756</v>
      </c>
      <c r="C773">
        <v>13.5</v>
      </c>
      <c r="D773">
        <v>12500</v>
      </c>
      <c r="E773">
        <v>64.400000000000006</v>
      </c>
      <c r="F773">
        <v>0</v>
      </c>
      <c r="G773">
        <v>168750</v>
      </c>
    </row>
    <row r="774" spans="1:7">
      <c r="A774">
        <v>36</v>
      </c>
      <c r="B774">
        <v>540</v>
      </c>
      <c r="C774">
        <v>15</v>
      </c>
      <c r="D774">
        <v>30000</v>
      </c>
      <c r="E774">
        <v>64.400000000000006</v>
      </c>
      <c r="F774">
        <v>0</v>
      </c>
      <c r="G774">
        <v>450000</v>
      </c>
    </row>
    <row r="775" spans="1:7">
      <c r="A775">
        <v>38</v>
      </c>
      <c r="B775">
        <v>513</v>
      </c>
      <c r="C775">
        <v>13.5</v>
      </c>
      <c r="D775">
        <v>20000</v>
      </c>
      <c r="E775">
        <v>64.400000000000006</v>
      </c>
      <c r="F775">
        <v>0</v>
      </c>
      <c r="G775">
        <v>270000</v>
      </c>
    </row>
    <row r="776" spans="1:7">
      <c r="A776">
        <v>52</v>
      </c>
      <c r="B776">
        <v>832</v>
      </c>
      <c r="C776">
        <v>16</v>
      </c>
      <c r="D776">
        <v>20000</v>
      </c>
      <c r="E776">
        <v>64.400000000000006</v>
      </c>
      <c r="F776">
        <v>1</v>
      </c>
      <c r="G776">
        <v>320000</v>
      </c>
    </row>
    <row r="777" spans="1:7">
      <c r="A777">
        <v>45</v>
      </c>
      <c r="B777">
        <v>675</v>
      </c>
      <c r="C777">
        <v>15</v>
      </c>
      <c r="D777">
        <v>20000</v>
      </c>
      <c r="E777">
        <v>64.400000000000006</v>
      </c>
      <c r="F777">
        <v>1</v>
      </c>
      <c r="G777">
        <v>300000</v>
      </c>
    </row>
    <row r="778" spans="1:7">
      <c r="A778">
        <v>22</v>
      </c>
      <c r="B778">
        <v>264</v>
      </c>
      <c r="C778">
        <v>12</v>
      </c>
      <c r="D778">
        <v>12500</v>
      </c>
      <c r="E778">
        <v>64.400000000000006</v>
      </c>
      <c r="F778">
        <v>1</v>
      </c>
      <c r="G778">
        <v>150000</v>
      </c>
    </row>
    <row r="779" spans="1:7">
      <c r="A779">
        <v>19</v>
      </c>
      <c r="B779">
        <v>228</v>
      </c>
      <c r="C779">
        <v>12</v>
      </c>
      <c r="D779">
        <v>2500</v>
      </c>
      <c r="E779">
        <v>64.400000000000006</v>
      </c>
      <c r="F779">
        <v>0</v>
      </c>
      <c r="G779">
        <v>30000</v>
      </c>
    </row>
    <row r="780" spans="1:7">
      <c r="A780">
        <v>36</v>
      </c>
      <c r="B780">
        <v>216</v>
      </c>
      <c r="C780">
        <v>6</v>
      </c>
      <c r="D780">
        <v>6500</v>
      </c>
      <c r="E780">
        <v>64.400000000000006</v>
      </c>
      <c r="F780">
        <v>1</v>
      </c>
      <c r="G780">
        <v>39000</v>
      </c>
    </row>
    <row r="781" spans="1:7">
      <c r="A781">
        <v>71</v>
      </c>
      <c r="B781">
        <v>177.5</v>
      </c>
      <c r="C781">
        <v>2.5</v>
      </c>
      <c r="D781">
        <v>8500</v>
      </c>
      <c r="E781">
        <v>64.400000000000006</v>
      </c>
      <c r="F781">
        <v>1</v>
      </c>
      <c r="G781">
        <v>21250</v>
      </c>
    </row>
    <row r="782" spans="1:7">
      <c r="A782">
        <v>42</v>
      </c>
      <c r="B782">
        <v>567</v>
      </c>
      <c r="C782">
        <v>13.5</v>
      </c>
      <c r="D782">
        <v>30000</v>
      </c>
      <c r="E782">
        <v>64.400000000000006</v>
      </c>
      <c r="F782">
        <v>1</v>
      </c>
      <c r="G782">
        <v>405000</v>
      </c>
    </row>
    <row r="783" spans="1:7">
      <c r="A783">
        <v>54</v>
      </c>
      <c r="B783">
        <v>729</v>
      </c>
      <c r="C783">
        <v>13.5</v>
      </c>
      <c r="D783">
        <v>30000</v>
      </c>
      <c r="E783">
        <v>64.400000000000006</v>
      </c>
      <c r="F783">
        <v>1</v>
      </c>
      <c r="G783">
        <v>405000</v>
      </c>
    </row>
    <row r="784" spans="1:7">
      <c r="A784">
        <v>70</v>
      </c>
      <c r="B784">
        <v>700</v>
      </c>
      <c r="C784">
        <v>10</v>
      </c>
      <c r="D784">
        <v>6500</v>
      </c>
      <c r="E784">
        <v>64.400000000000006</v>
      </c>
      <c r="F784">
        <v>0</v>
      </c>
      <c r="G784">
        <v>65000</v>
      </c>
    </row>
    <row r="785" spans="1:7">
      <c r="A785">
        <v>61</v>
      </c>
      <c r="B785">
        <v>823.5</v>
      </c>
      <c r="C785">
        <v>13.5</v>
      </c>
      <c r="D785">
        <v>30000</v>
      </c>
      <c r="E785">
        <v>64.400000000000006</v>
      </c>
      <c r="F785">
        <v>0</v>
      </c>
      <c r="G785">
        <v>405000</v>
      </c>
    </row>
    <row r="786" spans="1:7">
      <c r="A786">
        <v>60</v>
      </c>
      <c r="B786">
        <v>720</v>
      </c>
      <c r="C786">
        <v>12</v>
      </c>
      <c r="D786">
        <v>30000</v>
      </c>
      <c r="E786">
        <v>64.400000000000006</v>
      </c>
      <c r="F786">
        <v>0</v>
      </c>
      <c r="G786">
        <v>360000</v>
      </c>
    </row>
    <row r="787" spans="1:7">
      <c r="A787">
        <v>17</v>
      </c>
      <c r="B787">
        <v>170</v>
      </c>
      <c r="C787">
        <v>10</v>
      </c>
      <c r="D787">
        <v>12500</v>
      </c>
      <c r="E787">
        <v>64.400000000000006</v>
      </c>
      <c r="F787">
        <v>0</v>
      </c>
      <c r="G787">
        <v>125000</v>
      </c>
    </row>
    <row r="788" spans="1:7">
      <c r="A788">
        <v>40</v>
      </c>
      <c r="B788">
        <v>720</v>
      </c>
      <c r="C788">
        <v>18</v>
      </c>
      <c r="D788">
        <v>30000</v>
      </c>
      <c r="E788">
        <v>64.400000000000006</v>
      </c>
      <c r="F788">
        <v>0</v>
      </c>
      <c r="G788">
        <v>540000</v>
      </c>
    </row>
    <row r="789" spans="1:7">
      <c r="A789">
        <v>58</v>
      </c>
      <c r="B789">
        <v>580</v>
      </c>
      <c r="C789">
        <v>10</v>
      </c>
      <c r="D789">
        <v>20000</v>
      </c>
      <c r="E789">
        <v>64.400000000000006</v>
      </c>
      <c r="F789">
        <v>0</v>
      </c>
      <c r="G789">
        <v>200000</v>
      </c>
    </row>
    <row r="790" spans="1:7">
      <c r="A790">
        <v>26</v>
      </c>
      <c r="B790">
        <v>260</v>
      </c>
      <c r="C790">
        <v>10</v>
      </c>
      <c r="D790">
        <v>20000</v>
      </c>
      <c r="E790">
        <v>64.400000000000006</v>
      </c>
      <c r="F790">
        <v>1</v>
      </c>
      <c r="G790">
        <v>200000</v>
      </c>
    </row>
    <row r="791" spans="1:7">
      <c r="A791">
        <v>39</v>
      </c>
      <c r="B791">
        <v>526.5</v>
      </c>
      <c r="C791">
        <v>13.5</v>
      </c>
      <c r="D791">
        <v>20000</v>
      </c>
      <c r="E791">
        <v>64.400000000000006</v>
      </c>
      <c r="F791">
        <v>1</v>
      </c>
      <c r="G791">
        <v>270000</v>
      </c>
    </row>
    <row r="792" spans="1:7">
      <c r="A792">
        <v>32</v>
      </c>
      <c r="B792">
        <v>384</v>
      </c>
      <c r="C792">
        <v>12</v>
      </c>
      <c r="D792">
        <v>30000</v>
      </c>
      <c r="E792">
        <v>64.400000000000006</v>
      </c>
      <c r="F792">
        <v>0</v>
      </c>
      <c r="G792">
        <v>360000</v>
      </c>
    </row>
    <row r="793" spans="1:7">
      <c r="A793">
        <v>55</v>
      </c>
      <c r="B793">
        <v>550</v>
      </c>
      <c r="C793">
        <v>10</v>
      </c>
      <c r="D793">
        <v>20000</v>
      </c>
      <c r="E793">
        <v>64.400000000000006</v>
      </c>
      <c r="F793">
        <v>1</v>
      </c>
      <c r="G793">
        <v>200000</v>
      </c>
    </row>
    <row r="794" spans="1:7">
      <c r="A794">
        <v>42</v>
      </c>
      <c r="B794">
        <v>756</v>
      </c>
      <c r="C794">
        <v>18</v>
      </c>
      <c r="D794">
        <v>30000</v>
      </c>
      <c r="E794">
        <v>64.400000000000006</v>
      </c>
      <c r="F794">
        <v>0</v>
      </c>
      <c r="G794">
        <v>540000</v>
      </c>
    </row>
    <row r="795" spans="1:7">
      <c r="A795">
        <v>20</v>
      </c>
      <c r="B795">
        <v>240</v>
      </c>
      <c r="C795">
        <v>12</v>
      </c>
      <c r="D795">
        <v>6500</v>
      </c>
      <c r="E795">
        <v>64.400000000000006</v>
      </c>
      <c r="F795">
        <v>0</v>
      </c>
      <c r="G795">
        <v>78000</v>
      </c>
    </row>
    <row r="796" spans="1:7">
      <c r="A796">
        <v>61</v>
      </c>
      <c r="B796">
        <v>610</v>
      </c>
      <c r="C796">
        <v>10</v>
      </c>
      <c r="D796">
        <v>30000</v>
      </c>
      <c r="E796">
        <v>64.400000000000006</v>
      </c>
      <c r="F796">
        <v>0</v>
      </c>
      <c r="G796">
        <v>300000</v>
      </c>
    </row>
    <row r="797" spans="1:7">
      <c r="A797">
        <v>41</v>
      </c>
      <c r="B797">
        <v>492</v>
      </c>
      <c r="C797">
        <v>12</v>
      </c>
      <c r="D797">
        <v>12500</v>
      </c>
      <c r="E797">
        <v>64.400000000000006</v>
      </c>
      <c r="F797">
        <v>0</v>
      </c>
      <c r="G797">
        <v>150000</v>
      </c>
    </row>
    <row r="798" spans="1:7">
      <c r="A798">
        <v>49</v>
      </c>
      <c r="B798">
        <v>490</v>
      </c>
      <c r="C798">
        <v>10</v>
      </c>
      <c r="D798">
        <v>12500</v>
      </c>
      <c r="E798">
        <v>64.400000000000006</v>
      </c>
      <c r="F798">
        <v>0</v>
      </c>
      <c r="G798">
        <v>125000</v>
      </c>
    </row>
    <row r="799" spans="1:7">
      <c r="A799">
        <v>36</v>
      </c>
      <c r="B799">
        <v>576</v>
      </c>
      <c r="C799">
        <v>16</v>
      </c>
      <c r="D799">
        <v>20000</v>
      </c>
      <c r="E799">
        <v>64.400000000000006</v>
      </c>
      <c r="F799">
        <v>0</v>
      </c>
      <c r="G799">
        <v>320000</v>
      </c>
    </row>
    <row r="800" spans="1:7">
      <c r="A800">
        <v>58</v>
      </c>
      <c r="B800">
        <v>696</v>
      </c>
      <c r="C800">
        <v>12</v>
      </c>
      <c r="D800">
        <v>12500</v>
      </c>
      <c r="E800">
        <v>64.400000000000006</v>
      </c>
      <c r="F800">
        <v>0</v>
      </c>
      <c r="G800">
        <v>150000</v>
      </c>
    </row>
    <row r="801" spans="1:7">
      <c r="A801">
        <v>52</v>
      </c>
      <c r="B801">
        <v>312</v>
      </c>
      <c r="C801">
        <v>6</v>
      </c>
      <c r="D801">
        <v>20000</v>
      </c>
      <c r="E801">
        <v>64.400000000000006</v>
      </c>
      <c r="F801">
        <v>0</v>
      </c>
      <c r="G801">
        <v>120000</v>
      </c>
    </row>
    <row r="802" spans="1:7">
      <c r="A802">
        <v>38</v>
      </c>
      <c r="B802">
        <v>570</v>
      </c>
      <c r="C802">
        <v>15</v>
      </c>
      <c r="D802">
        <v>20000</v>
      </c>
      <c r="E802">
        <v>64.400000000000006</v>
      </c>
      <c r="F802">
        <v>0</v>
      </c>
      <c r="G802">
        <v>300000</v>
      </c>
    </row>
    <row r="803" spans="1:7">
      <c r="A803">
        <v>28</v>
      </c>
      <c r="B803">
        <v>336</v>
      </c>
      <c r="C803">
        <v>12</v>
      </c>
      <c r="D803">
        <v>6500</v>
      </c>
      <c r="E803">
        <v>64.400000000000006</v>
      </c>
      <c r="F803">
        <v>1</v>
      </c>
      <c r="G803">
        <v>78000</v>
      </c>
    </row>
    <row r="804" spans="1:7">
      <c r="A804">
        <v>54</v>
      </c>
      <c r="B804">
        <v>648</v>
      </c>
      <c r="C804">
        <v>12</v>
      </c>
      <c r="D804">
        <v>12500</v>
      </c>
      <c r="E804">
        <v>64.400000000000006</v>
      </c>
      <c r="F804">
        <v>1</v>
      </c>
      <c r="G804">
        <v>150000</v>
      </c>
    </row>
    <row r="805" spans="1:7">
      <c r="A805">
        <v>60</v>
      </c>
      <c r="B805">
        <v>960</v>
      </c>
      <c r="C805">
        <v>16</v>
      </c>
      <c r="D805">
        <v>4500</v>
      </c>
      <c r="E805">
        <v>64.400000000000006</v>
      </c>
      <c r="F805">
        <v>0</v>
      </c>
      <c r="G805">
        <v>72000</v>
      </c>
    </row>
    <row r="806" spans="1:7">
      <c r="A806">
        <v>35</v>
      </c>
      <c r="B806">
        <v>420</v>
      </c>
      <c r="C806">
        <v>12</v>
      </c>
      <c r="D806">
        <v>20000</v>
      </c>
      <c r="E806">
        <v>64.400000000000006</v>
      </c>
      <c r="F806">
        <v>0</v>
      </c>
      <c r="G806">
        <v>240000</v>
      </c>
    </row>
    <row r="807" spans="1:7">
      <c r="A807">
        <v>62</v>
      </c>
      <c r="B807">
        <v>744</v>
      </c>
      <c r="C807">
        <v>12</v>
      </c>
      <c r="D807">
        <v>12500</v>
      </c>
      <c r="E807">
        <v>64.400000000000006</v>
      </c>
      <c r="F807">
        <v>0</v>
      </c>
      <c r="G807">
        <v>150000</v>
      </c>
    </row>
    <row r="808" spans="1:7">
      <c r="A808">
        <v>32</v>
      </c>
      <c r="B808">
        <v>384</v>
      </c>
      <c r="C808">
        <v>12</v>
      </c>
      <c r="D808">
        <v>20000</v>
      </c>
      <c r="E808">
        <v>64.400000000000006</v>
      </c>
      <c r="F808">
        <v>1</v>
      </c>
      <c r="G808">
        <v>240000</v>
      </c>
    </row>
    <row r="809" spans="1:7">
      <c r="A809">
        <v>37</v>
      </c>
      <c r="B809">
        <v>0</v>
      </c>
      <c r="C809">
        <v>0</v>
      </c>
      <c r="D809">
        <v>20000</v>
      </c>
      <c r="E809">
        <v>64.400000000000006</v>
      </c>
      <c r="F809">
        <v>0</v>
      </c>
      <c r="G809">
        <v>0</v>
      </c>
    </row>
    <row r="810" spans="1:7">
      <c r="A810">
        <v>29</v>
      </c>
      <c r="B810">
        <v>391.5</v>
      </c>
      <c r="C810">
        <v>13.5</v>
      </c>
      <c r="D810">
        <v>20000</v>
      </c>
      <c r="E810">
        <v>64.400000000000006</v>
      </c>
      <c r="F810">
        <v>0</v>
      </c>
      <c r="G810">
        <v>270000</v>
      </c>
    </row>
    <row r="811" spans="1:7">
      <c r="A811">
        <v>18</v>
      </c>
      <c r="B811">
        <v>180</v>
      </c>
      <c r="C811">
        <v>10</v>
      </c>
      <c r="D811">
        <v>20000</v>
      </c>
      <c r="E811">
        <v>64.400000000000006</v>
      </c>
      <c r="F811">
        <v>0</v>
      </c>
      <c r="G811">
        <v>200000</v>
      </c>
    </row>
    <row r="812" spans="1:7">
      <c r="A812">
        <v>52</v>
      </c>
      <c r="B812">
        <v>312</v>
      </c>
      <c r="C812">
        <v>6</v>
      </c>
      <c r="D812">
        <v>20000</v>
      </c>
      <c r="E812">
        <v>64.400000000000006</v>
      </c>
      <c r="F812">
        <v>0</v>
      </c>
      <c r="G812">
        <v>120000</v>
      </c>
    </row>
    <row r="813" spans="1:7">
      <c r="A813">
        <v>18</v>
      </c>
      <c r="B813">
        <v>144</v>
      </c>
      <c r="C813">
        <v>8</v>
      </c>
      <c r="D813">
        <v>8500</v>
      </c>
      <c r="E813">
        <v>64.400000000000006</v>
      </c>
      <c r="F813">
        <v>1</v>
      </c>
      <c r="G813">
        <v>68000</v>
      </c>
    </row>
    <row r="814" spans="1:7">
      <c r="A814">
        <v>27</v>
      </c>
      <c r="B814">
        <v>324</v>
      </c>
      <c r="C814">
        <v>12</v>
      </c>
      <c r="D814">
        <v>30000</v>
      </c>
      <c r="E814">
        <v>64.400000000000006</v>
      </c>
      <c r="F814">
        <v>1</v>
      </c>
      <c r="G814">
        <v>360000</v>
      </c>
    </row>
    <row r="815" spans="1:7">
      <c r="A815">
        <v>25</v>
      </c>
      <c r="B815">
        <v>337.5</v>
      </c>
      <c r="C815">
        <v>13.5</v>
      </c>
      <c r="D815">
        <v>20000</v>
      </c>
      <c r="E815">
        <v>64.400000000000006</v>
      </c>
      <c r="F815">
        <v>0</v>
      </c>
      <c r="G815">
        <v>270000</v>
      </c>
    </row>
    <row r="816" spans="1:7">
      <c r="A816">
        <v>53</v>
      </c>
      <c r="B816">
        <v>530</v>
      </c>
      <c r="C816">
        <v>10</v>
      </c>
      <c r="D816">
        <v>30000</v>
      </c>
      <c r="E816">
        <v>64.400000000000006</v>
      </c>
      <c r="F816">
        <v>0</v>
      </c>
      <c r="G816">
        <v>300000</v>
      </c>
    </row>
    <row r="817" spans="1:7">
      <c r="A817">
        <v>81</v>
      </c>
      <c r="B817">
        <v>648</v>
      </c>
      <c r="C817">
        <v>8</v>
      </c>
      <c r="D817">
        <v>12500</v>
      </c>
      <c r="E817">
        <v>64.400000000000006</v>
      </c>
      <c r="F817">
        <v>0</v>
      </c>
      <c r="G817">
        <v>100000</v>
      </c>
    </row>
    <row r="818" spans="1:7">
      <c r="A818">
        <v>27</v>
      </c>
      <c r="B818">
        <v>486</v>
      </c>
      <c r="C818">
        <v>18</v>
      </c>
      <c r="D818">
        <v>20000</v>
      </c>
      <c r="E818">
        <v>64.400000000000006</v>
      </c>
      <c r="F818">
        <v>0</v>
      </c>
      <c r="G818">
        <v>360000</v>
      </c>
    </row>
    <row r="819" spans="1:7">
      <c r="A819">
        <v>38</v>
      </c>
      <c r="B819">
        <v>513</v>
      </c>
      <c r="C819">
        <v>13.5</v>
      </c>
      <c r="D819">
        <v>30000</v>
      </c>
      <c r="E819">
        <v>64.400000000000006</v>
      </c>
      <c r="F819">
        <v>0</v>
      </c>
      <c r="G819">
        <v>405000</v>
      </c>
    </row>
    <row r="820" spans="1:7">
      <c r="A820">
        <v>38</v>
      </c>
      <c r="B820">
        <v>570</v>
      </c>
      <c r="C820">
        <v>15</v>
      </c>
      <c r="D820">
        <v>30000</v>
      </c>
      <c r="E820">
        <v>64.400000000000006</v>
      </c>
      <c r="F820">
        <v>0</v>
      </c>
      <c r="G820">
        <v>450000</v>
      </c>
    </row>
    <row r="821" spans="1:7">
      <c r="A821">
        <v>33</v>
      </c>
      <c r="B821">
        <v>445.5</v>
      </c>
      <c r="C821">
        <v>13.5</v>
      </c>
      <c r="D821">
        <v>12500</v>
      </c>
      <c r="E821">
        <v>64.400000000000006</v>
      </c>
      <c r="F821">
        <v>0</v>
      </c>
      <c r="G821">
        <v>168750</v>
      </c>
    </row>
    <row r="822" spans="1:7">
      <c r="A822">
        <v>64</v>
      </c>
      <c r="B822">
        <v>640</v>
      </c>
      <c r="C822">
        <v>10</v>
      </c>
      <c r="D822">
        <v>8500</v>
      </c>
      <c r="E822">
        <v>64.400000000000006</v>
      </c>
      <c r="F822">
        <v>0</v>
      </c>
      <c r="G822">
        <v>85000</v>
      </c>
    </row>
    <row r="823" spans="1:7">
      <c r="A823">
        <v>17</v>
      </c>
      <c r="B823">
        <v>170</v>
      </c>
      <c r="C823">
        <v>10</v>
      </c>
      <c r="D823">
        <v>12500</v>
      </c>
      <c r="E823">
        <v>64.400000000000006</v>
      </c>
      <c r="F823">
        <v>1</v>
      </c>
      <c r="G823">
        <v>125000</v>
      </c>
    </row>
    <row r="824" spans="1:7">
      <c r="A824">
        <v>26</v>
      </c>
      <c r="B824">
        <v>468</v>
      </c>
      <c r="C824">
        <v>18</v>
      </c>
      <c r="D824">
        <v>8500</v>
      </c>
      <c r="E824">
        <v>64.400000000000006</v>
      </c>
      <c r="F824">
        <v>0</v>
      </c>
      <c r="G824">
        <v>153000</v>
      </c>
    </row>
    <row r="825" spans="1:7">
      <c r="A825">
        <v>20</v>
      </c>
      <c r="B825">
        <v>270</v>
      </c>
      <c r="C825">
        <v>13.5</v>
      </c>
      <c r="D825">
        <v>20000</v>
      </c>
      <c r="E825">
        <v>64.400000000000006</v>
      </c>
      <c r="F825">
        <v>0</v>
      </c>
      <c r="G825">
        <v>270000</v>
      </c>
    </row>
    <row r="826" spans="1:7">
      <c r="A826">
        <v>54</v>
      </c>
      <c r="B826">
        <v>324</v>
      </c>
      <c r="C826">
        <v>6</v>
      </c>
      <c r="D826">
        <v>20000</v>
      </c>
      <c r="E826">
        <v>64.400000000000006</v>
      </c>
      <c r="F826">
        <v>0</v>
      </c>
      <c r="G826">
        <v>120000</v>
      </c>
    </row>
    <row r="827" spans="1:7">
      <c r="A827">
        <v>18</v>
      </c>
      <c r="B827">
        <v>180</v>
      </c>
      <c r="C827">
        <v>10</v>
      </c>
      <c r="D827">
        <v>3500</v>
      </c>
      <c r="E827">
        <v>64.400000000000006</v>
      </c>
      <c r="F827">
        <v>0</v>
      </c>
      <c r="G827">
        <v>35000</v>
      </c>
    </row>
    <row r="828" spans="1:7">
      <c r="A828">
        <v>47</v>
      </c>
      <c r="B828">
        <v>564</v>
      </c>
      <c r="C828">
        <v>12</v>
      </c>
      <c r="D828">
        <v>500</v>
      </c>
      <c r="E828">
        <v>64.400000000000006</v>
      </c>
      <c r="F828">
        <v>0</v>
      </c>
      <c r="G828">
        <v>6000</v>
      </c>
    </row>
    <row r="829" spans="1:7">
      <c r="A829">
        <v>30</v>
      </c>
      <c r="B829">
        <v>360</v>
      </c>
      <c r="C829">
        <v>12</v>
      </c>
      <c r="D829">
        <v>20000</v>
      </c>
      <c r="E829">
        <v>64.400000000000006</v>
      </c>
      <c r="F829">
        <v>0</v>
      </c>
      <c r="G829">
        <v>240000</v>
      </c>
    </row>
    <row r="830" spans="1:7">
      <c r="A830">
        <v>37</v>
      </c>
      <c r="B830">
        <v>222</v>
      </c>
      <c r="C830">
        <v>6</v>
      </c>
      <c r="D830">
        <v>20000</v>
      </c>
      <c r="E830">
        <v>64.400000000000006</v>
      </c>
      <c r="F830">
        <v>1</v>
      </c>
      <c r="G830">
        <v>120000</v>
      </c>
    </row>
    <row r="831" spans="1:7">
      <c r="A831">
        <v>20</v>
      </c>
      <c r="B831">
        <v>240</v>
      </c>
      <c r="C831">
        <v>12</v>
      </c>
      <c r="D831">
        <v>30000</v>
      </c>
      <c r="E831">
        <v>64.400000000000006</v>
      </c>
      <c r="F831">
        <v>0</v>
      </c>
      <c r="G831">
        <v>360000</v>
      </c>
    </row>
    <row r="832" spans="1:7">
      <c r="A832">
        <v>27</v>
      </c>
      <c r="B832">
        <v>270</v>
      </c>
      <c r="C832">
        <v>10</v>
      </c>
      <c r="D832">
        <v>3500</v>
      </c>
      <c r="E832">
        <v>64.400000000000006</v>
      </c>
      <c r="F832">
        <v>1</v>
      </c>
      <c r="G832">
        <v>35000</v>
      </c>
    </row>
    <row r="833" spans="1:7">
      <c r="A833">
        <v>41</v>
      </c>
      <c r="B833">
        <v>656</v>
      </c>
      <c r="C833">
        <v>16</v>
      </c>
      <c r="D833">
        <v>20000</v>
      </c>
      <c r="E833">
        <v>64.400000000000006</v>
      </c>
      <c r="F833">
        <v>0</v>
      </c>
      <c r="G833">
        <v>320000</v>
      </c>
    </row>
    <row r="834" spans="1:7">
      <c r="A834">
        <v>35</v>
      </c>
      <c r="B834">
        <v>560</v>
      </c>
      <c r="C834">
        <v>16</v>
      </c>
      <c r="D834">
        <v>1500</v>
      </c>
      <c r="E834">
        <v>64.400000000000006</v>
      </c>
      <c r="F834">
        <v>1</v>
      </c>
      <c r="G834">
        <v>24000</v>
      </c>
    </row>
    <row r="835" spans="1:7">
      <c r="A835">
        <v>39</v>
      </c>
      <c r="B835">
        <v>702</v>
      </c>
      <c r="C835">
        <v>18</v>
      </c>
      <c r="D835">
        <v>30000</v>
      </c>
      <c r="E835">
        <v>64.400000000000006</v>
      </c>
      <c r="F835">
        <v>1</v>
      </c>
      <c r="G835">
        <v>540000</v>
      </c>
    </row>
    <row r="836" spans="1:7">
      <c r="A836">
        <v>59</v>
      </c>
      <c r="B836">
        <v>944</v>
      </c>
      <c r="C836">
        <v>16</v>
      </c>
      <c r="D836">
        <v>30000</v>
      </c>
      <c r="E836">
        <v>64.400000000000006</v>
      </c>
      <c r="F836">
        <v>1</v>
      </c>
      <c r="G836">
        <v>480000</v>
      </c>
    </row>
    <row r="837" spans="1:7">
      <c r="A837">
        <v>35</v>
      </c>
      <c r="B837">
        <v>472.5</v>
      </c>
      <c r="C837">
        <v>13.5</v>
      </c>
      <c r="D837">
        <v>20000</v>
      </c>
      <c r="E837">
        <v>47.3</v>
      </c>
      <c r="F837">
        <v>1</v>
      </c>
      <c r="G837">
        <v>270000</v>
      </c>
    </row>
    <row r="838" spans="1:7">
      <c r="A838">
        <v>22</v>
      </c>
      <c r="B838">
        <v>297</v>
      </c>
      <c r="C838">
        <v>13.5</v>
      </c>
      <c r="D838">
        <v>6500</v>
      </c>
      <c r="E838">
        <v>47.3</v>
      </c>
      <c r="F838">
        <v>0</v>
      </c>
      <c r="G838">
        <v>87750</v>
      </c>
    </row>
    <row r="839" spans="1:7">
      <c r="A839">
        <v>22</v>
      </c>
      <c r="B839">
        <v>264</v>
      </c>
      <c r="C839">
        <v>12</v>
      </c>
      <c r="D839">
        <v>20000</v>
      </c>
      <c r="E839">
        <v>47.3</v>
      </c>
      <c r="F839">
        <v>0</v>
      </c>
      <c r="G839">
        <v>240000</v>
      </c>
    </row>
    <row r="840" spans="1:7">
      <c r="A840">
        <v>53</v>
      </c>
      <c r="B840">
        <v>715.5</v>
      </c>
      <c r="C840">
        <v>13.5</v>
      </c>
      <c r="D840">
        <v>20000</v>
      </c>
      <c r="E840">
        <v>47.3</v>
      </c>
      <c r="F840">
        <v>1</v>
      </c>
      <c r="G840">
        <v>270000</v>
      </c>
    </row>
    <row r="841" spans="1:7">
      <c r="A841">
        <v>38</v>
      </c>
      <c r="B841">
        <v>456</v>
      </c>
      <c r="C841">
        <v>12</v>
      </c>
      <c r="D841">
        <v>30000</v>
      </c>
      <c r="E841">
        <v>47.3</v>
      </c>
      <c r="F841">
        <v>0</v>
      </c>
      <c r="G841">
        <v>360000</v>
      </c>
    </row>
    <row r="842" spans="1:7">
      <c r="A842">
        <v>38</v>
      </c>
      <c r="B842">
        <v>228</v>
      </c>
      <c r="C842">
        <v>6</v>
      </c>
      <c r="D842">
        <v>8500</v>
      </c>
      <c r="E842">
        <v>47.3</v>
      </c>
      <c r="F842">
        <v>1</v>
      </c>
      <c r="G842">
        <v>51000</v>
      </c>
    </row>
    <row r="843" spans="1:7">
      <c r="A843">
        <v>28</v>
      </c>
      <c r="B843">
        <v>336</v>
      </c>
      <c r="C843">
        <v>12</v>
      </c>
      <c r="D843">
        <v>12500</v>
      </c>
      <c r="E843">
        <v>47.3</v>
      </c>
      <c r="F843">
        <v>1</v>
      </c>
      <c r="G843">
        <v>150000</v>
      </c>
    </row>
    <row r="844" spans="1:7">
      <c r="A844">
        <v>66</v>
      </c>
      <c r="B844">
        <v>891</v>
      </c>
      <c r="C844">
        <v>13.5</v>
      </c>
      <c r="D844">
        <v>12500</v>
      </c>
      <c r="E844">
        <v>47.3</v>
      </c>
      <c r="F844">
        <v>1</v>
      </c>
      <c r="G844">
        <v>168750</v>
      </c>
    </row>
    <row r="845" spans="1:7">
      <c r="A845">
        <v>60</v>
      </c>
      <c r="B845">
        <v>810</v>
      </c>
      <c r="C845">
        <v>13.5</v>
      </c>
      <c r="D845">
        <v>20000</v>
      </c>
      <c r="E845">
        <v>47.3</v>
      </c>
      <c r="F845">
        <v>0</v>
      </c>
      <c r="G845">
        <v>270000</v>
      </c>
    </row>
    <row r="846" spans="1:7">
      <c r="A846">
        <v>25</v>
      </c>
      <c r="B846">
        <v>300</v>
      </c>
      <c r="C846">
        <v>12</v>
      </c>
      <c r="D846">
        <v>12500</v>
      </c>
      <c r="E846">
        <v>47.3</v>
      </c>
      <c r="F846">
        <v>1</v>
      </c>
      <c r="G846">
        <v>150000</v>
      </c>
    </row>
    <row r="847" spans="1:7">
      <c r="A847">
        <v>74</v>
      </c>
      <c r="B847">
        <v>444</v>
      </c>
      <c r="C847">
        <v>6</v>
      </c>
      <c r="D847">
        <v>4500</v>
      </c>
      <c r="E847">
        <v>47.3</v>
      </c>
      <c r="F847">
        <v>0</v>
      </c>
      <c r="G847">
        <v>27000</v>
      </c>
    </row>
    <row r="848" spans="1:7">
      <c r="A848">
        <v>32</v>
      </c>
      <c r="B848">
        <v>384</v>
      </c>
      <c r="C848">
        <v>12</v>
      </c>
      <c r="D848">
        <v>30000</v>
      </c>
      <c r="E848">
        <v>47.3</v>
      </c>
      <c r="F848">
        <v>1</v>
      </c>
      <c r="G848">
        <v>360000</v>
      </c>
    </row>
    <row r="849" spans="1:7">
      <c r="A849">
        <v>50</v>
      </c>
      <c r="B849">
        <v>800</v>
      </c>
      <c r="C849">
        <v>16</v>
      </c>
      <c r="D849">
        <v>500</v>
      </c>
      <c r="E849">
        <v>47.3</v>
      </c>
      <c r="F849">
        <v>0</v>
      </c>
      <c r="G849">
        <v>8000</v>
      </c>
    </row>
    <row r="850" spans="1:7">
      <c r="A850">
        <v>25</v>
      </c>
      <c r="B850">
        <v>400</v>
      </c>
      <c r="C850">
        <v>16</v>
      </c>
      <c r="D850">
        <v>12500</v>
      </c>
      <c r="E850">
        <v>47.3</v>
      </c>
      <c r="F850">
        <v>0</v>
      </c>
      <c r="G850">
        <v>200000</v>
      </c>
    </row>
    <row r="851" spans="1:7">
      <c r="A851">
        <v>55</v>
      </c>
      <c r="B851">
        <v>990</v>
      </c>
      <c r="C851">
        <v>18</v>
      </c>
      <c r="D851">
        <v>30000</v>
      </c>
      <c r="E851">
        <v>47.3</v>
      </c>
      <c r="F851">
        <v>0</v>
      </c>
      <c r="G851">
        <v>540000</v>
      </c>
    </row>
    <row r="852" spans="1:7">
      <c r="A852">
        <v>20</v>
      </c>
      <c r="B852">
        <v>270</v>
      </c>
      <c r="C852">
        <v>13.5</v>
      </c>
      <c r="D852">
        <v>500</v>
      </c>
      <c r="E852">
        <v>47.3</v>
      </c>
      <c r="F852">
        <v>0</v>
      </c>
      <c r="G852">
        <v>6750</v>
      </c>
    </row>
    <row r="853" spans="1:7">
      <c r="A853">
        <v>19</v>
      </c>
      <c r="B853">
        <v>228</v>
      </c>
      <c r="C853">
        <v>12</v>
      </c>
      <c r="D853">
        <v>30000</v>
      </c>
      <c r="E853">
        <v>47.3</v>
      </c>
      <c r="F853">
        <v>1</v>
      </c>
      <c r="G853">
        <v>360000</v>
      </c>
    </row>
    <row r="854" spans="1:7">
      <c r="A854">
        <v>26</v>
      </c>
      <c r="B854">
        <v>312</v>
      </c>
      <c r="C854">
        <v>12</v>
      </c>
      <c r="D854">
        <v>12500</v>
      </c>
      <c r="E854">
        <v>47.3</v>
      </c>
      <c r="F854">
        <v>0</v>
      </c>
      <c r="G854">
        <v>150000</v>
      </c>
    </row>
    <row r="855" spans="1:7">
      <c r="A855">
        <v>27</v>
      </c>
      <c r="B855">
        <v>324</v>
      </c>
      <c r="C855">
        <v>12</v>
      </c>
      <c r="D855">
        <v>3500</v>
      </c>
      <c r="E855">
        <v>47.3</v>
      </c>
      <c r="F855">
        <v>1</v>
      </c>
      <c r="G855">
        <v>42000</v>
      </c>
    </row>
    <row r="856" spans="1:7">
      <c r="A856">
        <v>29</v>
      </c>
      <c r="B856">
        <v>522</v>
      </c>
      <c r="C856">
        <v>18</v>
      </c>
      <c r="D856">
        <v>20000</v>
      </c>
      <c r="E856">
        <v>47.3</v>
      </c>
      <c r="F856">
        <v>0</v>
      </c>
      <c r="G856">
        <v>360000</v>
      </c>
    </row>
    <row r="857" spans="1:7">
      <c r="A857">
        <v>30</v>
      </c>
      <c r="B857">
        <v>360</v>
      </c>
      <c r="C857">
        <v>12</v>
      </c>
      <c r="D857">
        <v>12500</v>
      </c>
      <c r="E857">
        <v>47.3</v>
      </c>
      <c r="F857">
        <v>0</v>
      </c>
      <c r="G857">
        <v>150000</v>
      </c>
    </row>
    <row r="858" spans="1:7">
      <c r="A858">
        <v>32</v>
      </c>
      <c r="B858">
        <v>576</v>
      </c>
      <c r="C858">
        <v>18</v>
      </c>
      <c r="D858">
        <v>12500</v>
      </c>
      <c r="E858">
        <v>47.3</v>
      </c>
      <c r="F858">
        <v>0</v>
      </c>
      <c r="G858">
        <v>225000</v>
      </c>
    </row>
    <row r="859" spans="1:7">
      <c r="A859">
        <v>86</v>
      </c>
      <c r="B859">
        <v>1032</v>
      </c>
      <c r="C859">
        <v>12</v>
      </c>
      <c r="D859">
        <v>4500</v>
      </c>
      <c r="E859">
        <v>47.3</v>
      </c>
      <c r="F859">
        <v>0</v>
      </c>
      <c r="G859">
        <v>54000</v>
      </c>
    </row>
    <row r="860" spans="1:7">
      <c r="A860">
        <v>40</v>
      </c>
      <c r="B860">
        <v>540</v>
      </c>
      <c r="C860">
        <v>13.5</v>
      </c>
      <c r="D860">
        <v>30000</v>
      </c>
      <c r="E860">
        <v>47.3</v>
      </c>
      <c r="F860">
        <v>1</v>
      </c>
      <c r="G860">
        <v>405000</v>
      </c>
    </row>
    <row r="861" spans="1:7">
      <c r="A861">
        <v>69</v>
      </c>
      <c r="B861">
        <v>414</v>
      </c>
      <c r="C861">
        <v>6</v>
      </c>
      <c r="D861">
        <v>20000</v>
      </c>
      <c r="E861">
        <v>47.3</v>
      </c>
      <c r="F861">
        <v>0</v>
      </c>
      <c r="G861">
        <v>120000</v>
      </c>
    </row>
    <row r="862" spans="1:7">
      <c r="A862">
        <v>42</v>
      </c>
      <c r="B862">
        <v>420</v>
      </c>
      <c r="C862">
        <v>10</v>
      </c>
      <c r="D862">
        <v>8500</v>
      </c>
      <c r="E862">
        <v>47.3</v>
      </c>
      <c r="F862">
        <v>1</v>
      </c>
      <c r="G862">
        <v>85000</v>
      </c>
    </row>
    <row r="863" spans="1:7">
      <c r="A863">
        <v>31</v>
      </c>
      <c r="B863">
        <v>310</v>
      </c>
      <c r="C863">
        <v>10</v>
      </c>
      <c r="D863">
        <v>12500</v>
      </c>
      <c r="E863">
        <v>47.3</v>
      </c>
      <c r="F863">
        <v>0</v>
      </c>
      <c r="G863">
        <v>125000</v>
      </c>
    </row>
    <row r="864" spans="1:7">
      <c r="A864">
        <v>70</v>
      </c>
      <c r="B864">
        <v>1120</v>
      </c>
      <c r="C864">
        <v>16</v>
      </c>
      <c r="D864">
        <v>30000</v>
      </c>
      <c r="E864">
        <v>58.7</v>
      </c>
      <c r="F864">
        <v>0</v>
      </c>
      <c r="G864">
        <v>480000</v>
      </c>
    </row>
    <row r="865" spans="1:7">
      <c r="A865">
        <v>21</v>
      </c>
      <c r="B865">
        <v>283.5</v>
      </c>
      <c r="C865">
        <v>13.5</v>
      </c>
      <c r="D865">
        <v>12500</v>
      </c>
      <c r="E865">
        <v>58.7</v>
      </c>
      <c r="F865">
        <v>0</v>
      </c>
      <c r="G865">
        <v>168750</v>
      </c>
    </row>
    <row r="866" spans="1:7">
      <c r="A866">
        <v>59</v>
      </c>
      <c r="B866">
        <v>472</v>
      </c>
      <c r="C866">
        <v>8</v>
      </c>
      <c r="D866">
        <v>20000</v>
      </c>
      <c r="E866">
        <v>58.7</v>
      </c>
      <c r="F866">
        <v>1</v>
      </c>
      <c r="G866">
        <v>160000</v>
      </c>
    </row>
    <row r="867" spans="1:7">
      <c r="A867">
        <v>79</v>
      </c>
      <c r="B867">
        <v>474</v>
      </c>
      <c r="C867">
        <v>6</v>
      </c>
      <c r="D867">
        <v>8500</v>
      </c>
      <c r="E867">
        <v>58.7</v>
      </c>
      <c r="F867">
        <v>0</v>
      </c>
      <c r="G867">
        <v>51000</v>
      </c>
    </row>
    <row r="868" spans="1:7">
      <c r="A868">
        <v>33</v>
      </c>
      <c r="B868">
        <v>594</v>
      </c>
      <c r="C868">
        <v>18</v>
      </c>
      <c r="D868">
        <v>30000</v>
      </c>
      <c r="E868">
        <v>58.7</v>
      </c>
      <c r="F868">
        <v>1</v>
      </c>
      <c r="G868">
        <v>540000</v>
      </c>
    </row>
    <row r="869" spans="1:7">
      <c r="A869">
        <v>21</v>
      </c>
      <c r="B869">
        <v>252</v>
      </c>
      <c r="C869">
        <v>12</v>
      </c>
      <c r="D869">
        <v>12500</v>
      </c>
      <c r="E869">
        <v>58.7</v>
      </c>
      <c r="F869">
        <v>1</v>
      </c>
      <c r="G869">
        <v>150000</v>
      </c>
    </row>
    <row r="870" spans="1:7">
      <c r="A870">
        <v>44</v>
      </c>
      <c r="B870">
        <v>528</v>
      </c>
      <c r="C870">
        <v>12</v>
      </c>
      <c r="D870">
        <v>12500</v>
      </c>
      <c r="E870">
        <v>58.7</v>
      </c>
      <c r="F870">
        <v>0</v>
      </c>
      <c r="G870">
        <v>150000</v>
      </c>
    </row>
    <row r="871" spans="1:7">
      <c r="A871">
        <v>53</v>
      </c>
      <c r="B871">
        <v>715.5</v>
      </c>
      <c r="C871">
        <v>13.5</v>
      </c>
      <c r="D871">
        <v>30000</v>
      </c>
      <c r="E871">
        <v>58.7</v>
      </c>
      <c r="F871">
        <v>1</v>
      </c>
      <c r="G871">
        <v>405000</v>
      </c>
    </row>
    <row r="872" spans="1:7">
      <c r="A872">
        <v>44</v>
      </c>
      <c r="B872">
        <v>528</v>
      </c>
      <c r="C872">
        <v>12</v>
      </c>
      <c r="D872">
        <v>12500</v>
      </c>
      <c r="E872">
        <v>58.7</v>
      </c>
      <c r="F872">
        <v>0</v>
      </c>
      <c r="G872">
        <v>150000</v>
      </c>
    </row>
    <row r="873" spans="1:7">
      <c r="A873">
        <v>72</v>
      </c>
      <c r="B873">
        <v>972</v>
      </c>
      <c r="C873">
        <v>13.5</v>
      </c>
      <c r="D873">
        <v>8500</v>
      </c>
      <c r="E873">
        <v>58.7</v>
      </c>
      <c r="F873">
        <v>0</v>
      </c>
      <c r="G873">
        <v>114750</v>
      </c>
    </row>
    <row r="874" spans="1:7">
      <c r="A874">
        <v>45</v>
      </c>
      <c r="B874">
        <v>540</v>
      </c>
      <c r="C874">
        <v>12</v>
      </c>
      <c r="D874">
        <v>20000</v>
      </c>
      <c r="E874">
        <v>58.7</v>
      </c>
      <c r="F874">
        <v>1</v>
      </c>
      <c r="G874">
        <v>240000</v>
      </c>
    </row>
    <row r="875" spans="1:7">
      <c r="A875">
        <v>51</v>
      </c>
      <c r="B875">
        <v>816</v>
      </c>
      <c r="C875">
        <v>16</v>
      </c>
      <c r="D875">
        <v>20000</v>
      </c>
      <c r="E875">
        <v>58.7</v>
      </c>
      <c r="F875">
        <v>0</v>
      </c>
      <c r="G875">
        <v>320000</v>
      </c>
    </row>
    <row r="876" spans="1:7">
      <c r="A876">
        <v>35</v>
      </c>
      <c r="B876">
        <v>280</v>
      </c>
      <c r="C876">
        <v>8</v>
      </c>
      <c r="D876">
        <v>20000</v>
      </c>
      <c r="E876">
        <v>58.7</v>
      </c>
      <c r="F876">
        <v>1</v>
      </c>
      <c r="G876">
        <v>160000</v>
      </c>
    </row>
    <row r="877" spans="1:7">
      <c r="A877">
        <v>55</v>
      </c>
      <c r="B877">
        <v>660</v>
      </c>
      <c r="C877">
        <v>12</v>
      </c>
      <c r="D877">
        <v>20000</v>
      </c>
      <c r="E877">
        <v>58.7</v>
      </c>
      <c r="F877">
        <v>0</v>
      </c>
      <c r="G877">
        <v>240000</v>
      </c>
    </row>
    <row r="878" spans="1:7">
      <c r="A878">
        <v>24</v>
      </c>
      <c r="B878">
        <v>288</v>
      </c>
      <c r="C878">
        <v>12</v>
      </c>
      <c r="D878">
        <v>6500</v>
      </c>
      <c r="E878">
        <v>58.7</v>
      </c>
      <c r="F878">
        <v>1</v>
      </c>
      <c r="G878">
        <v>78000</v>
      </c>
    </row>
    <row r="879" spans="1:7">
      <c r="A879">
        <v>45</v>
      </c>
      <c r="B879">
        <v>810</v>
      </c>
      <c r="C879">
        <v>18</v>
      </c>
      <c r="D879">
        <v>30000</v>
      </c>
      <c r="E879">
        <v>58.7</v>
      </c>
      <c r="F879">
        <v>0</v>
      </c>
      <c r="G879">
        <v>540000</v>
      </c>
    </row>
    <row r="880" spans="1:7">
      <c r="A880">
        <v>17</v>
      </c>
      <c r="B880">
        <v>170</v>
      </c>
      <c r="C880">
        <v>10</v>
      </c>
      <c r="D880">
        <v>12500</v>
      </c>
      <c r="E880">
        <v>58.7</v>
      </c>
      <c r="F880">
        <v>0</v>
      </c>
      <c r="G880">
        <v>125000</v>
      </c>
    </row>
    <row r="881" spans="1:7">
      <c r="A881">
        <v>21</v>
      </c>
      <c r="B881">
        <v>252</v>
      </c>
      <c r="C881">
        <v>12</v>
      </c>
      <c r="D881">
        <v>30000</v>
      </c>
      <c r="E881">
        <v>58.7</v>
      </c>
      <c r="F881">
        <v>1</v>
      </c>
      <c r="G881">
        <v>360000</v>
      </c>
    </row>
    <row r="882" spans="1:7">
      <c r="A882">
        <v>23</v>
      </c>
      <c r="B882">
        <v>368</v>
      </c>
      <c r="C882">
        <v>16</v>
      </c>
      <c r="D882">
        <v>8500</v>
      </c>
      <c r="E882">
        <v>58.7</v>
      </c>
      <c r="F882">
        <v>0</v>
      </c>
      <c r="G882">
        <v>136000</v>
      </c>
    </row>
    <row r="883" spans="1:7">
      <c r="A883">
        <v>41</v>
      </c>
      <c r="B883">
        <v>656</v>
      </c>
      <c r="C883">
        <v>16</v>
      </c>
      <c r="D883">
        <v>20000</v>
      </c>
      <c r="E883">
        <v>58.7</v>
      </c>
      <c r="F883">
        <v>0</v>
      </c>
      <c r="G883">
        <v>320000</v>
      </c>
    </row>
    <row r="884" spans="1:7">
      <c r="A884">
        <v>66</v>
      </c>
      <c r="B884">
        <v>1188</v>
      </c>
      <c r="C884">
        <v>18</v>
      </c>
      <c r="D884">
        <v>8500</v>
      </c>
      <c r="E884">
        <v>58.7</v>
      </c>
      <c r="F884">
        <v>0</v>
      </c>
      <c r="G884">
        <v>153000</v>
      </c>
    </row>
    <row r="885" spans="1:7">
      <c r="A885">
        <v>43</v>
      </c>
      <c r="B885">
        <v>774</v>
      </c>
      <c r="C885">
        <v>18</v>
      </c>
      <c r="D885">
        <v>30000</v>
      </c>
      <c r="E885">
        <v>58.7</v>
      </c>
      <c r="F885">
        <v>0</v>
      </c>
      <c r="G885">
        <v>540000</v>
      </c>
    </row>
    <row r="886" spans="1:7">
      <c r="A886">
        <v>41</v>
      </c>
      <c r="B886">
        <v>492</v>
      </c>
      <c r="C886">
        <v>12</v>
      </c>
      <c r="D886">
        <v>20000</v>
      </c>
      <c r="E886">
        <v>58.7</v>
      </c>
      <c r="F886">
        <v>1</v>
      </c>
      <c r="G886">
        <v>240000</v>
      </c>
    </row>
    <row r="887" spans="1:7">
      <c r="A887">
        <v>30</v>
      </c>
      <c r="B887">
        <v>480</v>
      </c>
      <c r="C887">
        <v>16</v>
      </c>
      <c r="D887">
        <v>20000</v>
      </c>
      <c r="E887">
        <v>58.7</v>
      </c>
      <c r="F887">
        <v>1</v>
      </c>
      <c r="G887">
        <v>320000</v>
      </c>
    </row>
    <row r="888" spans="1:7">
      <c r="A888">
        <v>83</v>
      </c>
      <c r="B888">
        <v>498</v>
      </c>
      <c r="C888">
        <v>6</v>
      </c>
      <c r="D888">
        <v>3500</v>
      </c>
      <c r="E888">
        <v>58.7</v>
      </c>
      <c r="F888">
        <v>0</v>
      </c>
      <c r="G888">
        <v>21000</v>
      </c>
    </row>
    <row r="889" spans="1:7">
      <c r="A889">
        <v>48</v>
      </c>
      <c r="B889">
        <v>768</v>
      </c>
      <c r="C889">
        <v>16</v>
      </c>
      <c r="D889">
        <v>20000</v>
      </c>
      <c r="E889">
        <v>58.7</v>
      </c>
      <c r="F889">
        <v>0</v>
      </c>
      <c r="G889">
        <v>320000</v>
      </c>
    </row>
    <row r="890" spans="1:7">
      <c r="A890">
        <v>57</v>
      </c>
      <c r="B890">
        <v>684</v>
      </c>
      <c r="C890">
        <v>12</v>
      </c>
      <c r="D890">
        <v>30000</v>
      </c>
      <c r="E890">
        <v>58.7</v>
      </c>
      <c r="F890">
        <v>0</v>
      </c>
      <c r="G890">
        <v>360000</v>
      </c>
    </row>
    <row r="891" spans="1:7">
      <c r="A891">
        <v>26</v>
      </c>
      <c r="B891">
        <v>312</v>
      </c>
      <c r="C891">
        <v>12</v>
      </c>
      <c r="D891">
        <v>20000</v>
      </c>
      <c r="E891">
        <v>58.7</v>
      </c>
      <c r="F891">
        <v>1</v>
      </c>
      <c r="G891">
        <v>240000</v>
      </c>
    </row>
    <row r="892" spans="1:7">
      <c r="A892">
        <v>58</v>
      </c>
      <c r="B892">
        <v>696</v>
      </c>
      <c r="C892">
        <v>12</v>
      </c>
      <c r="D892">
        <v>8500</v>
      </c>
      <c r="E892">
        <v>58.7</v>
      </c>
      <c r="F892">
        <v>1</v>
      </c>
      <c r="G892">
        <v>102000</v>
      </c>
    </row>
    <row r="893" spans="1:7">
      <c r="A893">
        <v>31</v>
      </c>
      <c r="B893">
        <v>372</v>
      </c>
      <c r="C893">
        <v>12</v>
      </c>
      <c r="D893">
        <v>12500</v>
      </c>
      <c r="E893">
        <v>58.7</v>
      </c>
      <c r="F893">
        <v>1</v>
      </c>
      <c r="G893">
        <v>150000</v>
      </c>
    </row>
    <row r="894" spans="1:7">
      <c r="A894">
        <v>41</v>
      </c>
      <c r="B894">
        <v>656</v>
      </c>
      <c r="C894">
        <v>16</v>
      </c>
      <c r="D894">
        <v>20000</v>
      </c>
      <c r="E894">
        <v>58.7</v>
      </c>
      <c r="F894">
        <v>0</v>
      </c>
      <c r="G894">
        <v>320000</v>
      </c>
    </row>
    <row r="895" spans="1:7">
      <c r="A895">
        <v>25</v>
      </c>
      <c r="B895">
        <v>337.5</v>
      </c>
      <c r="C895">
        <v>13.5</v>
      </c>
      <c r="D895">
        <v>20000</v>
      </c>
      <c r="E895">
        <v>58.7</v>
      </c>
      <c r="F895">
        <v>0</v>
      </c>
      <c r="G895">
        <v>270000</v>
      </c>
    </row>
    <row r="896" spans="1:7">
      <c r="A896">
        <v>47</v>
      </c>
      <c r="B896">
        <v>564</v>
      </c>
      <c r="C896">
        <v>12</v>
      </c>
      <c r="D896">
        <v>30000</v>
      </c>
      <c r="E896">
        <v>58.7</v>
      </c>
      <c r="F896">
        <v>0</v>
      </c>
      <c r="G896">
        <v>360000</v>
      </c>
    </row>
    <row r="897" spans="1:7">
      <c r="A897">
        <v>24</v>
      </c>
      <c r="B897">
        <v>288</v>
      </c>
      <c r="C897">
        <v>12</v>
      </c>
      <c r="D897">
        <v>8500</v>
      </c>
      <c r="E897">
        <v>58.7</v>
      </c>
      <c r="F897">
        <v>0</v>
      </c>
      <c r="G897">
        <v>102000</v>
      </c>
    </row>
    <row r="898" spans="1:7">
      <c r="A898">
        <v>30</v>
      </c>
      <c r="B898">
        <v>360</v>
      </c>
      <c r="C898">
        <v>12</v>
      </c>
      <c r="D898">
        <v>20000</v>
      </c>
      <c r="E898">
        <v>58.7</v>
      </c>
      <c r="F898">
        <v>0</v>
      </c>
      <c r="G898">
        <v>240000</v>
      </c>
    </row>
    <row r="899" spans="1:7">
      <c r="A899">
        <v>30</v>
      </c>
      <c r="B899">
        <v>360</v>
      </c>
      <c r="C899">
        <v>12</v>
      </c>
      <c r="D899">
        <v>8500</v>
      </c>
      <c r="E899">
        <v>58.7</v>
      </c>
      <c r="F899">
        <v>1</v>
      </c>
      <c r="G899">
        <v>102000</v>
      </c>
    </row>
    <row r="900" spans="1:7">
      <c r="A900">
        <v>19</v>
      </c>
      <c r="B900">
        <v>256.5</v>
      </c>
      <c r="C900">
        <v>13.5</v>
      </c>
      <c r="D900">
        <v>2500</v>
      </c>
      <c r="E900">
        <v>58.7</v>
      </c>
      <c r="F900">
        <v>0</v>
      </c>
      <c r="G900">
        <v>33750</v>
      </c>
    </row>
    <row r="901" spans="1:7">
      <c r="A901">
        <v>64</v>
      </c>
      <c r="B901">
        <v>512</v>
      </c>
      <c r="C901">
        <v>8</v>
      </c>
      <c r="D901">
        <v>30000</v>
      </c>
      <c r="E901">
        <v>58.7</v>
      </c>
      <c r="F901">
        <v>0</v>
      </c>
      <c r="G901">
        <v>240000</v>
      </c>
    </row>
    <row r="902" spans="1:7">
      <c r="A902">
        <v>36</v>
      </c>
      <c r="B902">
        <v>432</v>
      </c>
      <c r="C902">
        <v>12</v>
      </c>
      <c r="D902">
        <v>20000</v>
      </c>
      <c r="E902">
        <v>58.7</v>
      </c>
      <c r="F902">
        <v>0</v>
      </c>
      <c r="G902">
        <v>240000</v>
      </c>
    </row>
    <row r="903" spans="1:7">
      <c r="A903">
        <v>56</v>
      </c>
      <c r="B903">
        <v>672</v>
      </c>
      <c r="C903">
        <v>12</v>
      </c>
      <c r="D903">
        <v>30000</v>
      </c>
      <c r="E903">
        <v>58.7</v>
      </c>
      <c r="F903">
        <v>1</v>
      </c>
      <c r="G903">
        <v>360000</v>
      </c>
    </row>
    <row r="904" spans="1:7">
      <c r="A904">
        <v>45</v>
      </c>
      <c r="B904">
        <v>450</v>
      </c>
      <c r="C904">
        <v>10</v>
      </c>
      <c r="D904">
        <v>30000</v>
      </c>
      <c r="E904">
        <v>58.7</v>
      </c>
      <c r="F904">
        <v>1</v>
      </c>
      <c r="G904">
        <v>300000</v>
      </c>
    </row>
    <row r="905" spans="1:7">
      <c r="A905">
        <v>43</v>
      </c>
      <c r="B905">
        <v>430</v>
      </c>
      <c r="C905">
        <v>10</v>
      </c>
      <c r="D905">
        <v>30000</v>
      </c>
      <c r="E905">
        <v>58.7</v>
      </c>
      <c r="F905">
        <v>1</v>
      </c>
      <c r="G905">
        <v>300000</v>
      </c>
    </row>
    <row r="906" spans="1:7">
      <c r="A906">
        <v>25</v>
      </c>
      <c r="B906">
        <v>300</v>
      </c>
      <c r="C906">
        <v>12</v>
      </c>
      <c r="D906">
        <v>20000</v>
      </c>
      <c r="E906">
        <v>58.7</v>
      </c>
      <c r="F906">
        <v>1</v>
      </c>
      <c r="G906">
        <v>240000</v>
      </c>
    </row>
    <row r="907" spans="1:7">
      <c r="A907">
        <v>23</v>
      </c>
      <c r="B907">
        <v>310.5</v>
      </c>
      <c r="C907">
        <v>13.5</v>
      </c>
      <c r="D907">
        <v>12500</v>
      </c>
      <c r="E907">
        <v>58.7</v>
      </c>
      <c r="F907">
        <v>0</v>
      </c>
      <c r="G907">
        <v>168750</v>
      </c>
    </row>
    <row r="908" spans="1:7">
      <c r="A908">
        <v>32</v>
      </c>
      <c r="B908">
        <v>432</v>
      </c>
      <c r="C908">
        <v>13.5</v>
      </c>
      <c r="D908">
        <v>30000</v>
      </c>
      <c r="E908">
        <v>58.7</v>
      </c>
      <c r="F908">
        <v>0</v>
      </c>
      <c r="G908">
        <v>405000</v>
      </c>
    </row>
    <row r="909" spans="1:7">
      <c r="A909">
        <v>18</v>
      </c>
      <c r="B909">
        <v>216</v>
      </c>
      <c r="C909">
        <v>12</v>
      </c>
      <c r="D909">
        <v>20000</v>
      </c>
      <c r="E909">
        <v>58.7</v>
      </c>
      <c r="F909">
        <v>0</v>
      </c>
      <c r="G909">
        <v>240000</v>
      </c>
    </row>
    <row r="910" spans="1:7">
      <c r="A910">
        <v>75</v>
      </c>
      <c r="B910">
        <v>750</v>
      </c>
      <c r="C910">
        <v>10</v>
      </c>
      <c r="D910">
        <v>8500</v>
      </c>
      <c r="E910">
        <v>58.7</v>
      </c>
      <c r="F910">
        <v>0</v>
      </c>
      <c r="G910">
        <v>85000</v>
      </c>
    </row>
    <row r="911" spans="1:7">
      <c r="A911">
        <v>59</v>
      </c>
      <c r="B911">
        <v>354</v>
      </c>
      <c r="C911">
        <v>6</v>
      </c>
      <c r="D911">
        <v>20000</v>
      </c>
      <c r="E911">
        <v>58.7</v>
      </c>
      <c r="F911">
        <v>1</v>
      </c>
      <c r="G911">
        <v>120000</v>
      </c>
    </row>
    <row r="912" spans="1:7">
      <c r="A912">
        <v>35</v>
      </c>
      <c r="B912">
        <v>420</v>
      </c>
      <c r="C912">
        <v>12</v>
      </c>
      <c r="D912">
        <v>30000</v>
      </c>
      <c r="E912">
        <v>58.7</v>
      </c>
      <c r="F912">
        <v>1</v>
      </c>
      <c r="G912">
        <v>360000</v>
      </c>
    </row>
    <row r="913" spans="1:7">
      <c r="A913">
        <v>58</v>
      </c>
      <c r="B913">
        <v>464</v>
      </c>
      <c r="C913">
        <v>8</v>
      </c>
      <c r="D913">
        <v>12500</v>
      </c>
      <c r="E913">
        <v>58.7</v>
      </c>
      <c r="F913">
        <v>1</v>
      </c>
      <c r="G913">
        <v>100000</v>
      </c>
    </row>
    <row r="914" spans="1:7">
      <c r="A914">
        <v>70</v>
      </c>
      <c r="B914">
        <v>840</v>
      </c>
      <c r="C914">
        <v>12</v>
      </c>
      <c r="D914">
        <v>2500</v>
      </c>
      <c r="E914">
        <v>58.7</v>
      </c>
      <c r="F914">
        <v>0</v>
      </c>
      <c r="G914">
        <v>30000</v>
      </c>
    </row>
    <row r="915" spans="1:7">
      <c r="A915">
        <v>63</v>
      </c>
      <c r="B915">
        <v>756</v>
      </c>
      <c r="C915">
        <v>12</v>
      </c>
      <c r="D915">
        <v>12500</v>
      </c>
      <c r="E915">
        <v>58.7</v>
      </c>
      <c r="F915">
        <v>0</v>
      </c>
      <c r="G915">
        <v>150000</v>
      </c>
    </row>
    <row r="916" spans="1:7">
      <c r="A916">
        <v>22</v>
      </c>
      <c r="B916">
        <v>330</v>
      </c>
      <c r="C916">
        <v>15</v>
      </c>
      <c r="D916">
        <v>12500</v>
      </c>
      <c r="E916">
        <v>58.7</v>
      </c>
      <c r="F916">
        <v>0</v>
      </c>
      <c r="G916">
        <v>187500</v>
      </c>
    </row>
    <row r="917" spans="1:7">
      <c r="A917">
        <v>49</v>
      </c>
      <c r="B917">
        <v>588</v>
      </c>
      <c r="C917">
        <v>12</v>
      </c>
      <c r="D917">
        <v>20000</v>
      </c>
      <c r="E917">
        <v>58.7</v>
      </c>
      <c r="F917">
        <v>1</v>
      </c>
      <c r="G917">
        <v>240000</v>
      </c>
    </row>
    <row r="918" spans="1:7">
      <c r="A918">
        <v>21</v>
      </c>
      <c r="B918">
        <v>210</v>
      </c>
      <c r="C918">
        <v>10</v>
      </c>
      <c r="D918">
        <v>12500</v>
      </c>
      <c r="E918">
        <v>58.7</v>
      </c>
      <c r="F918">
        <v>1</v>
      </c>
      <c r="G918">
        <v>125000</v>
      </c>
    </row>
    <row r="919" spans="1:7">
      <c r="A919">
        <v>17</v>
      </c>
      <c r="B919">
        <v>170</v>
      </c>
      <c r="C919">
        <v>10</v>
      </c>
      <c r="D919">
        <v>3500</v>
      </c>
      <c r="E919">
        <v>58.7</v>
      </c>
      <c r="F919">
        <v>1</v>
      </c>
      <c r="G919">
        <v>35000</v>
      </c>
    </row>
    <row r="920" spans="1:7">
      <c r="A920">
        <v>66</v>
      </c>
      <c r="B920">
        <v>660</v>
      </c>
      <c r="C920">
        <v>10</v>
      </c>
      <c r="D920">
        <v>12500</v>
      </c>
      <c r="E920">
        <v>58.7</v>
      </c>
      <c r="F920">
        <v>0</v>
      </c>
      <c r="G920">
        <v>125000</v>
      </c>
    </row>
    <row r="921" spans="1:7">
      <c r="A921">
        <v>50</v>
      </c>
      <c r="B921">
        <v>600</v>
      </c>
      <c r="C921">
        <v>12</v>
      </c>
      <c r="D921">
        <v>30000</v>
      </c>
      <c r="E921">
        <v>58.7</v>
      </c>
      <c r="F921">
        <v>0</v>
      </c>
      <c r="G921">
        <v>360000</v>
      </c>
    </row>
    <row r="922" spans="1:7">
      <c r="A922">
        <v>61</v>
      </c>
      <c r="B922">
        <v>610</v>
      </c>
      <c r="C922">
        <v>10</v>
      </c>
      <c r="D922">
        <v>20000</v>
      </c>
      <c r="E922">
        <v>58.7</v>
      </c>
      <c r="F922">
        <v>0</v>
      </c>
      <c r="G922">
        <v>200000</v>
      </c>
    </row>
    <row r="923" spans="1:7">
      <c r="A923">
        <v>19</v>
      </c>
      <c r="B923">
        <v>228</v>
      </c>
      <c r="C923">
        <v>12</v>
      </c>
      <c r="D923">
        <v>20000</v>
      </c>
      <c r="E923">
        <v>58.7</v>
      </c>
      <c r="F923">
        <v>1</v>
      </c>
      <c r="G923">
        <v>240000</v>
      </c>
    </row>
    <row r="924" spans="1:7">
      <c r="A924">
        <v>26</v>
      </c>
      <c r="B924">
        <v>416</v>
      </c>
      <c r="C924">
        <v>16</v>
      </c>
      <c r="D924">
        <v>1500</v>
      </c>
      <c r="E924">
        <v>58.7</v>
      </c>
      <c r="F924">
        <v>0</v>
      </c>
      <c r="G924">
        <v>24000</v>
      </c>
    </row>
    <row r="925" spans="1:7">
      <c r="A925">
        <v>51</v>
      </c>
      <c r="B925">
        <v>816</v>
      </c>
      <c r="C925">
        <v>16</v>
      </c>
      <c r="D925">
        <v>30000</v>
      </c>
      <c r="E925">
        <v>58.7</v>
      </c>
      <c r="F925">
        <v>0</v>
      </c>
      <c r="G925">
        <v>480000</v>
      </c>
    </row>
    <row r="926" spans="1:7">
      <c r="A926">
        <v>50</v>
      </c>
      <c r="B926">
        <v>500</v>
      </c>
      <c r="C926">
        <v>10</v>
      </c>
      <c r="D926">
        <v>20000</v>
      </c>
      <c r="E926">
        <v>58.7</v>
      </c>
      <c r="F926">
        <v>0</v>
      </c>
      <c r="G926">
        <v>200000</v>
      </c>
    </row>
    <row r="927" spans="1:7">
      <c r="A927">
        <v>30</v>
      </c>
      <c r="B927">
        <v>360</v>
      </c>
      <c r="C927">
        <v>12</v>
      </c>
      <c r="D927">
        <v>20000</v>
      </c>
      <c r="E927">
        <v>62.9</v>
      </c>
      <c r="F927">
        <v>1</v>
      </c>
      <c r="G927">
        <v>240000</v>
      </c>
    </row>
    <row r="928" spans="1:7">
      <c r="A928">
        <v>42</v>
      </c>
      <c r="B928">
        <v>504</v>
      </c>
      <c r="C928">
        <v>12</v>
      </c>
      <c r="D928">
        <v>20000</v>
      </c>
      <c r="E928">
        <v>62.9</v>
      </c>
      <c r="F928">
        <v>1</v>
      </c>
      <c r="G928">
        <v>240000</v>
      </c>
    </row>
    <row r="929" spans="1:7">
      <c r="A929">
        <v>26</v>
      </c>
      <c r="B929">
        <v>351</v>
      </c>
      <c r="C929">
        <v>13.5</v>
      </c>
      <c r="D929">
        <v>4500</v>
      </c>
      <c r="E929">
        <v>62.9</v>
      </c>
      <c r="F929">
        <v>1</v>
      </c>
      <c r="G929">
        <v>60750</v>
      </c>
    </row>
    <row r="930" spans="1:7">
      <c r="A930">
        <v>36</v>
      </c>
      <c r="B930">
        <v>432</v>
      </c>
      <c r="C930">
        <v>12</v>
      </c>
      <c r="D930">
        <v>12500</v>
      </c>
      <c r="E930">
        <v>62.9</v>
      </c>
      <c r="F930">
        <v>0</v>
      </c>
      <c r="G930">
        <v>150000</v>
      </c>
    </row>
    <row r="931" spans="1:7">
      <c r="A931">
        <v>62</v>
      </c>
      <c r="B931">
        <v>155</v>
      </c>
      <c r="C931">
        <v>2.5</v>
      </c>
      <c r="D931">
        <v>12500</v>
      </c>
      <c r="E931">
        <v>62.9</v>
      </c>
      <c r="F931">
        <v>1</v>
      </c>
      <c r="G931">
        <v>31250</v>
      </c>
    </row>
    <row r="932" spans="1:7">
      <c r="A932">
        <v>57</v>
      </c>
      <c r="B932">
        <v>684</v>
      </c>
      <c r="C932">
        <v>12</v>
      </c>
      <c r="D932">
        <v>30000</v>
      </c>
      <c r="E932">
        <v>62.9</v>
      </c>
      <c r="F932">
        <v>0</v>
      </c>
      <c r="G932">
        <v>360000</v>
      </c>
    </row>
    <row r="933" spans="1:7">
      <c r="A933">
        <v>19</v>
      </c>
      <c r="B933">
        <v>228</v>
      </c>
      <c r="C933">
        <v>12</v>
      </c>
      <c r="D933">
        <v>30000</v>
      </c>
      <c r="E933">
        <v>62.9</v>
      </c>
      <c r="F933">
        <v>0</v>
      </c>
      <c r="G933">
        <v>360000</v>
      </c>
    </row>
    <row r="934" spans="1:7">
      <c r="A934">
        <v>55</v>
      </c>
      <c r="B934">
        <v>660</v>
      </c>
      <c r="C934">
        <v>12</v>
      </c>
      <c r="D934">
        <v>20000</v>
      </c>
      <c r="E934">
        <v>62.9</v>
      </c>
      <c r="F934">
        <v>0</v>
      </c>
      <c r="G934">
        <v>240000</v>
      </c>
    </row>
    <row r="935" spans="1:7">
      <c r="A935">
        <v>54</v>
      </c>
      <c r="B935">
        <v>432</v>
      </c>
      <c r="C935">
        <v>8</v>
      </c>
      <c r="D935">
        <v>30000</v>
      </c>
      <c r="E935">
        <v>54</v>
      </c>
      <c r="F935">
        <v>0</v>
      </c>
      <c r="G935">
        <v>240000</v>
      </c>
    </row>
    <row r="936" spans="1:7">
      <c r="A936">
        <v>35</v>
      </c>
      <c r="B936">
        <v>560</v>
      </c>
      <c r="C936">
        <v>16</v>
      </c>
      <c r="D936">
        <v>30000</v>
      </c>
      <c r="E936">
        <v>54</v>
      </c>
      <c r="F936">
        <v>0</v>
      </c>
      <c r="G936">
        <v>480000</v>
      </c>
    </row>
    <row r="937" spans="1:7">
      <c r="A937">
        <v>61</v>
      </c>
      <c r="B937">
        <v>610</v>
      </c>
      <c r="C937">
        <v>10</v>
      </c>
      <c r="D937">
        <v>30000</v>
      </c>
      <c r="E937">
        <v>54</v>
      </c>
      <c r="F937">
        <v>1</v>
      </c>
      <c r="G937">
        <v>300000</v>
      </c>
    </row>
    <row r="938" spans="1:7">
      <c r="A938">
        <v>43</v>
      </c>
      <c r="B938">
        <v>516</v>
      </c>
      <c r="C938">
        <v>12</v>
      </c>
      <c r="D938">
        <v>30000</v>
      </c>
      <c r="E938">
        <v>54</v>
      </c>
      <c r="F938">
        <v>1</v>
      </c>
      <c r="G938">
        <v>360000</v>
      </c>
    </row>
    <row r="939" spans="1:7">
      <c r="A939">
        <v>37</v>
      </c>
      <c r="B939">
        <v>666</v>
      </c>
      <c r="C939">
        <v>18</v>
      </c>
      <c r="D939">
        <v>20000</v>
      </c>
      <c r="E939">
        <v>54</v>
      </c>
      <c r="F939">
        <v>0</v>
      </c>
      <c r="G939">
        <v>360000</v>
      </c>
    </row>
    <row r="940" spans="1:7">
      <c r="A940">
        <v>72</v>
      </c>
      <c r="B940">
        <v>972</v>
      </c>
      <c r="C940">
        <v>13.5</v>
      </c>
      <c r="D940">
        <v>8500</v>
      </c>
      <c r="E940">
        <v>54</v>
      </c>
      <c r="F940">
        <v>0</v>
      </c>
      <c r="G940">
        <v>114750</v>
      </c>
    </row>
    <row r="941" spans="1:7">
      <c r="A941">
        <v>60</v>
      </c>
      <c r="B941">
        <v>720</v>
      </c>
      <c r="C941">
        <v>12</v>
      </c>
      <c r="D941">
        <v>20000</v>
      </c>
      <c r="E941">
        <v>54</v>
      </c>
      <c r="F941">
        <v>0</v>
      </c>
      <c r="G941">
        <v>240000</v>
      </c>
    </row>
    <row r="942" spans="1:7">
      <c r="A942">
        <v>22</v>
      </c>
      <c r="B942">
        <v>330</v>
      </c>
      <c r="C942">
        <v>15</v>
      </c>
      <c r="D942">
        <v>2500</v>
      </c>
      <c r="E942">
        <v>54</v>
      </c>
      <c r="F942">
        <v>0</v>
      </c>
      <c r="G942">
        <v>37500</v>
      </c>
    </row>
    <row r="943" spans="1:7">
      <c r="A943">
        <v>66</v>
      </c>
      <c r="B943">
        <v>792</v>
      </c>
      <c r="C943">
        <v>12</v>
      </c>
      <c r="D943">
        <v>8500</v>
      </c>
      <c r="E943">
        <v>54</v>
      </c>
      <c r="F943">
        <v>0</v>
      </c>
      <c r="G943">
        <v>102000</v>
      </c>
    </row>
    <row r="944" spans="1:7">
      <c r="A944">
        <v>63</v>
      </c>
      <c r="B944">
        <v>756</v>
      </c>
      <c r="C944">
        <v>12</v>
      </c>
      <c r="D944">
        <v>12500</v>
      </c>
      <c r="E944">
        <v>54</v>
      </c>
      <c r="F944">
        <v>1</v>
      </c>
      <c r="G944">
        <v>150000</v>
      </c>
    </row>
    <row r="945" spans="1:7">
      <c r="A945">
        <v>21</v>
      </c>
      <c r="B945">
        <v>283.5</v>
      </c>
      <c r="C945">
        <v>13.5</v>
      </c>
      <c r="D945">
        <v>20000</v>
      </c>
      <c r="E945">
        <v>54</v>
      </c>
      <c r="F945">
        <v>0</v>
      </c>
      <c r="G945">
        <v>270000</v>
      </c>
    </row>
    <row r="946" spans="1:7">
      <c r="A946">
        <v>18</v>
      </c>
      <c r="B946">
        <v>216</v>
      </c>
      <c r="C946">
        <v>12</v>
      </c>
      <c r="D946">
        <v>500</v>
      </c>
      <c r="E946">
        <v>54</v>
      </c>
      <c r="F946">
        <v>0</v>
      </c>
      <c r="G946">
        <v>6000</v>
      </c>
    </row>
    <row r="947" spans="1:7">
      <c r="A947">
        <v>19</v>
      </c>
      <c r="B947">
        <v>228</v>
      </c>
      <c r="C947">
        <v>12</v>
      </c>
      <c r="D947">
        <v>12500</v>
      </c>
      <c r="E947">
        <v>61.3</v>
      </c>
      <c r="F947">
        <v>0</v>
      </c>
      <c r="G947">
        <v>150000</v>
      </c>
    </row>
    <row r="948" spans="1:7">
      <c r="A948">
        <v>71</v>
      </c>
      <c r="B948">
        <v>568</v>
      </c>
      <c r="C948">
        <v>8</v>
      </c>
      <c r="D948">
        <v>12500</v>
      </c>
      <c r="E948">
        <v>61.3</v>
      </c>
      <c r="F948">
        <v>0</v>
      </c>
      <c r="G948">
        <v>100000</v>
      </c>
    </row>
    <row r="949" spans="1:7">
      <c r="A949">
        <v>35</v>
      </c>
      <c r="B949">
        <v>420</v>
      </c>
      <c r="C949">
        <v>12</v>
      </c>
      <c r="D949">
        <v>30000</v>
      </c>
      <c r="E949">
        <v>61.3</v>
      </c>
      <c r="F949">
        <v>1</v>
      </c>
      <c r="G949">
        <v>360000</v>
      </c>
    </row>
    <row r="950" spans="1:7">
      <c r="A950">
        <v>23</v>
      </c>
      <c r="B950">
        <v>276</v>
      </c>
      <c r="C950">
        <v>12</v>
      </c>
      <c r="D950">
        <v>12500</v>
      </c>
      <c r="E950">
        <v>61.3</v>
      </c>
      <c r="F950">
        <v>1</v>
      </c>
      <c r="G950">
        <v>150000</v>
      </c>
    </row>
    <row r="951" spans="1:7">
      <c r="A951">
        <v>26</v>
      </c>
      <c r="B951">
        <v>312</v>
      </c>
      <c r="C951">
        <v>12</v>
      </c>
      <c r="D951">
        <v>12500</v>
      </c>
      <c r="E951">
        <v>61.3</v>
      </c>
      <c r="F951">
        <v>0</v>
      </c>
      <c r="G951">
        <v>150000</v>
      </c>
    </row>
    <row r="952" spans="1:7">
      <c r="A952">
        <v>84</v>
      </c>
      <c r="B952">
        <v>672</v>
      </c>
      <c r="C952">
        <v>8</v>
      </c>
      <c r="D952">
        <v>6500</v>
      </c>
      <c r="E952">
        <v>61.3</v>
      </c>
      <c r="F952">
        <v>0</v>
      </c>
      <c r="G952">
        <v>52000</v>
      </c>
    </row>
    <row r="953" spans="1:7">
      <c r="A953">
        <v>22</v>
      </c>
      <c r="B953">
        <v>264</v>
      </c>
      <c r="C953">
        <v>12</v>
      </c>
      <c r="D953">
        <v>12500</v>
      </c>
      <c r="E953">
        <v>61.3</v>
      </c>
      <c r="F953">
        <v>1</v>
      </c>
      <c r="G953">
        <v>150000</v>
      </c>
    </row>
    <row r="954" spans="1:7">
      <c r="A954">
        <v>27</v>
      </c>
      <c r="B954">
        <v>432</v>
      </c>
      <c r="C954">
        <v>16</v>
      </c>
      <c r="D954">
        <v>30000</v>
      </c>
      <c r="E954">
        <v>61.3</v>
      </c>
      <c r="F954">
        <v>0</v>
      </c>
      <c r="G954">
        <v>480000</v>
      </c>
    </row>
    <row r="955" spans="1:7">
      <c r="A955">
        <v>68</v>
      </c>
      <c r="B955">
        <v>680</v>
      </c>
      <c r="C955">
        <v>10</v>
      </c>
      <c r="D955">
        <v>6500</v>
      </c>
      <c r="E955">
        <v>61.3</v>
      </c>
      <c r="F955">
        <v>0</v>
      </c>
      <c r="G955">
        <v>65000</v>
      </c>
    </row>
    <row r="956" spans="1:7">
      <c r="A956">
        <v>46</v>
      </c>
      <c r="B956">
        <v>552</v>
      </c>
      <c r="C956">
        <v>12</v>
      </c>
      <c r="D956">
        <v>30000</v>
      </c>
      <c r="E956">
        <v>61.3</v>
      </c>
      <c r="F956">
        <v>1</v>
      </c>
      <c r="G956">
        <v>360000</v>
      </c>
    </row>
    <row r="957" spans="1:7">
      <c r="A957">
        <v>55</v>
      </c>
      <c r="B957">
        <v>550</v>
      </c>
      <c r="C957">
        <v>10</v>
      </c>
      <c r="D957">
        <v>30000</v>
      </c>
      <c r="E957">
        <v>61.3</v>
      </c>
      <c r="F957">
        <v>0</v>
      </c>
      <c r="G957">
        <v>300000</v>
      </c>
    </row>
    <row r="958" spans="1:7">
      <c r="A958">
        <v>80</v>
      </c>
      <c r="B958">
        <v>640</v>
      </c>
      <c r="C958">
        <v>8</v>
      </c>
      <c r="D958">
        <v>8500</v>
      </c>
      <c r="E958">
        <v>61.3</v>
      </c>
      <c r="F958">
        <v>0</v>
      </c>
      <c r="G958">
        <v>68000</v>
      </c>
    </row>
    <row r="959" spans="1:7">
      <c r="A959">
        <v>60</v>
      </c>
      <c r="B959">
        <v>1080</v>
      </c>
      <c r="C959">
        <v>18</v>
      </c>
      <c r="D959">
        <v>5500</v>
      </c>
      <c r="E959">
        <v>61.3</v>
      </c>
      <c r="F959">
        <v>1</v>
      </c>
      <c r="G959">
        <v>99000</v>
      </c>
    </row>
    <row r="960" spans="1:7">
      <c r="A960">
        <v>27</v>
      </c>
      <c r="B960">
        <v>432</v>
      </c>
      <c r="C960">
        <v>16</v>
      </c>
      <c r="D960">
        <v>12500</v>
      </c>
      <c r="E960">
        <v>61.3</v>
      </c>
      <c r="F960">
        <v>0</v>
      </c>
      <c r="G960">
        <v>200000</v>
      </c>
    </row>
    <row r="961" spans="1:7">
      <c r="A961">
        <v>53</v>
      </c>
      <c r="B961">
        <v>424</v>
      </c>
      <c r="C961">
        <v>8</v>
      </c>
      <c r="D961">
        <v>30000</v>
      </c>
      <c r="E961">
        <v>61.3</v>
      </c>
      <c r="F961">
        <v>0</v>
      </c>
      <c r="G961">
        <v>240000</v>
      </c>
    </row>
    <row r="962" spans="1:7">
      <c r="A962">
        <v>36</v>
      </c>
      <c r="B962">
        <v>432</v>
      </c>
      <c r="C962">
        <v>12</v>
      </c>
      <c r="D962">
        <v>12500</v>
      </c>
      <c r="E962">
        <v>61.3</v>
      </c>
      <c r="F962">
        <v>1</v>
      </c>
      <c r="G962">
        <v>150000</v>
      </c>
    </row>
    <row r="963" spans="1:7">
      <c r="A963">
        <v>25</v>
      </c>
      <c r="B963">
        <v>300</v>
      </c>
      <c r="C963">
        <v>12</v>
      </c>
      <c r="D963">
        <v>30000</v>
      </c>
      <c r="E963">
        <v>61.3</v>
      </c>
      <c r="F963">
        <v>0</v>
      </c>
      <c r="G963">
        <v>360000</v>
      </c>
    </row>
    <row r="964" spans="1:7">
      <c r="A964">
        <v>26</v>
      </c>
      <c r="B964">
        <v>351</v>
      </c>
      <c r="C964">
        <v>13.5</v>
      </c>
      <c r="D964">
        <v>20000</v>
      </c>
      <c r="E964">
        <v>61.3</v>
      </c>
      <c r="F964">
        <v>0</v>
      </c>
      <c r="G964">
        <v>270000</v>
      </c>
    </row>
    <row r="965" spans="1:7">
      <c r="A965">
        <v>57</v>
      </c>
      <c r="B965">
        <v>456</v>
      </c>
      <c r="C965">
        <v>8</v>
      </c>
      <c r="D965">
        <v>20000</v>
      </c>
      <c r="E965">
        <v>61.3</v>
      </c>
      <c r="F965">
        <v>1</v>
      </c>
      <c r="G965">
        <v>160000</v>
      </c>
    </row>
    <row r="966" spans="1:7">
      <c r="A966">
        <v>70</v>
      </c>
      <c r="B966">
        <v>945</v>
      </c>
      <c r="C966">
        <v>13.5</v>
      </c>
      <c r="D966">
        <v>8500</v>
      </c>
      <c r="E966">
        <v>61.3</v>
      </c>
      <c r="F966">
        <v>0</v>
      </c>
      <c r="G966">
        <v>114750</v>
      </c>
    </row>
    <row r="967" spans="1:7">
      <c r="A967">
        <v>18</v>
      </c>
      <c r="B967">
        <v>216</v>
      </c>
      <c r="C967">
        <v>12</v>
      </c>
      <c r="D967">
        <v>30000</v>
      </c>
      <c r="E967">
        <v>61.3</v>
      </c>
      <c r="F967">
        <v>0</v>
      </c>
      <c r="G967">
        <v>360000</v>
      </c>
    </row>
    <row r="968" spans="1:7">
      <c r="A968">
        <v>68</v>
      </c>
      <c r="B968">
        <v>408</v>
      </c>
      <c r="C968">
        <v>6</v>
      </c>
      <c r="D968">
        <v>12500</v>
      </c>
      <c r="E968">
        <v>61.3</v>
      </c>
      <c r="F968">
        <v>0</v>
      </c>
      <c r="G968">
        <v>75000</v>
      </c>
    </row>
    <row r="969" spans="1:7">
      <c r="A969">
        <v>61</v>
      </c>
      <c r="B969">
        <v>732</v>
      </c>
      <c r="C969">
        <v>12</v>
      </c>
      <c r="D969">
        <v>8500</v>
      </c>
      <c r="E969">
        <v>61.3</v>
      </c>
      <c r="F969">
        <v>1</v>
      </c>
      <c r="G969">
        <v>102000</v>
      </c>
    </row>
    <row r="970" spans="1:7">
      <c r="A970">
        <v>53</v>
      </c>
      <c r="B970">
        <v>848</v>
      </c>
      <c r="C970">
        <v>16</v>
      </c>
      <c r="D970">
        <v>30000</v>
      </c>
      <c r="E970">
        <v>61.3</v>
      </c>
      <c r="F970">
        <v>1</v>
      </c>
      <c r="G970">
        <v>480000</v>
      </c>
    </row>
    <row r="971" spans="1:7">
      <c r="A971">
        <v>53</v>
      </c>
      <c r="B971">
        <v>636</v>
      </c>
      <c r="C971">
        <v>12</v>
      </c>
      <c r="D971">
        <v>30000</v>
      </c>
      <c r="E971">
        <v>61.3</v>
      </c>
      <c r="F971">
        <v>1</v>
      </c>
      <c r="G971">
        <v>360000</v>
      </c>
    </row>
    <row r="972" spans="1:7">
      <c r="A972">
        <v>45</v>
      </c>
      <c r="B972">
        <v>810</v>
      </c>
      <c r="C972">
        <v>18</v>
      </c>
      <c r="D972">
        <v>30000</v>
      </c>
      <c r="E972">
        <v>61.3</v>
      </c>
      <c r="F972">
        <v>1</v>
      </c>
      <c r="G972">
        <v>540000</v>
      </c>
    </row>
    <row r="973" spans="1:7">
      <c r="A973">
        <v>35</v>
      </c>
      <c r="B973">
        <v>280</v>
      </c>
      <c r="C973">
        <v>8</v>
      </c>
      <c r="D973">
        <v>8500</v>
      </c>
      <c r="E973">
        <v>61.3</v>
      </c>
      <c r="F973">
        <v>0</v>
      </c>
      <c r="G973">
        <v>68000</v>
      </c>
    </row>
    <row r="974" spans="1:7">
      <c r="A974">
        <v>25</v>
      </c>
      <c r="B974">
        <v>300</v>
      </c>
      <c r="C974">
        <v>12</v>
      </c>
      <c r="D974">
        <v>20000</v>
      </c>
      <c r="E974">
        <v>61.3</v>
      </c>
      <c r="F974">
        <v>0</v>
      </c>
      <c r="G974">
        <v>240000</v>
      </c>
    </row>
    <row r="975" spans="1:7">
      <c r="A975">
        <v>67</v>
      </c>
      <c r="B975">
        <v>804</v>
      </c>
      <c r="C975">
        <v>12</v>
      </c>
      <c r="D975">
        <v>30000</v>
      </c>
      <c r="E975">
        <v>61.3</v>
      </c>
      <c r="F975">
        <v>0</v>
      </c>
      <c r="G975">
        <v>360000</v>
      </c>
    </row>
    <row r="976" spans="1:7">
      <c r="A976">
        <v>27</v>
      </c>
      <c r="B976">
        <v>432</v>
      </c>
      <c r="C976">
        <v>16</v>
      </c>
      <c r="D976">
        <v>20000</v>
      </c>
      <c r="E976">
        <v>61.3</v>
      </c>
      <c r="F976">
        <v>1</v>
      </c>
      <c r="G976">
        <v>320000</v>
      </c>
    </row>
    <row r="977" spans="1:7">
      <c r="A977">
        <v>35</v>
      </c>
      <c r="B977">
        <v>630</v>
      </c>
      <c r="C977">
        <v>18</v>
      </c>
      <c r="D977">
        <v>30000</v>
      </c>
      <c r="E977">
        <v>61.3</v>
      </c>
      <c r="F977">
        <v>0</v>
      </c>
      <c r="G977">
        <v>540000</v>
      </c>
    </row>
    <row r="978" spans="1:7">
      <c r="A978">
        <v>57</v>
      </c>
      <c r="B978">
        <v>684</v>
      </c>
      <c r="C978">
        <v>12</v>
      </c>
      <c r="D978">
        <v>30000</v>
      </c>
      <c r="E978">
        <v>61.3</v>
      </c>
      <c r="F978">
        <v>0</v>
      </c>
      <c r="G978">
        <v>360000</v>
      </c>
    </row>
    <row r="979" spans="1:7">
      <c r="A979">
        <v>37</v>
      </c>
      <c r="B979">
        <v>444</v>
      </c>
      <c r="C979">
        <v>12</v>
      </c>
      <c r="D979">
        <v>20000</v>
      </c>
      <c r="E979">
        <v>61.3</v>
      </c>
      <c r="F979">
        <v>1</v>
      </c>
      <c r="G979">
        <v>240000</v>
      </c>
    </row>
    <row r="980" spans="1:7">
      <c r="A980">
        <v>35</v>
      </c>
      <c r="B980">
        <v>472.5</v>
      </c>
      <c r="C980">
        <v>13.5</v>
      </c>
      <c r="D980">
        <v>20000</v>
      </c>
      <c r="E980">
        <v>61.3</v>
      </c>
      <c r="F980">
        <v>0</v>
      </c>
      <c r="G980">
        <v>270000</v>
      </c>
    </row>
    <row r="981" spans="1:7">
      <c r="A981">
        <v>41</v>
      </c>
      <c r="B981">
        <v>492</v>
      </c>
      <c r="C981">
        <v>12</v>
      </c>
      <c r="D981">
        <v>20000</v>
      </c>
      <c r="E981">
        <v>61.3</v>
      </c>
      <c r="F981">
        <v>1</v>
      </c>
      <c r="G981">
        <v>240000</v>
      </c>
    </row>
    <row r="982" spans="1:7">
      <c r="A982">
        <v>46</v>
      </c>
      <c r="B982">
        <v>368</v>
      </c>
      <c r="C982">
        <v>8</v>
      </c>
      <c r="D982">
        <v>12500</v>
      </c>
      <c r="E982">
        <v>61.3</v>
      </c>
      <c r="F982">
        <v>1</v>
      </c>
      <c r="G982">
        <v>100000</v>
      </c>
    </row>
    <row r="983" spans="1:7">
      <c r="A983">
        <v>35</v>
      </c>
      <c r="B983">
        <v>630</v>
      </c>
      <c r="C983">
        <v>18</v>
      </c>
      <c r="D983">
        <v>20000</v>
      </c>
      <c r="E983">
        <v>61.3</v>
      </c>
      <c r="F983">
        <v>0</v>
      </c>
      <c r="G983">
        <v>360000</v>
      </c>
    </row>
    <row r="984" spans="1:7">
      <c r="A984">
        <v>40</v>
      </c>
      <c r="B984">
        <v>720</v>
      </c>
      <c r="C984">
        <v>18</v>
      </c>
      <c r="D984">
        <v>30000</v>
      </c>
      <c r="E984">
        <v>61.3</v>
      </c>
      <c r="F984">
        <v>0</v>
      </c>
      <c r="G984">
        <v>540000</v>
      </c>
    </row>
    <row r="985" spans="1:7">
      <c r="A985">
        <v>31</v>
      </c>
      <c r="B985">
        <v>418.5</v>
      </c>
      <c r="C985">
        <v>13.5</v>
      </c>
      <c r="D985">
        <v>20000</v>
      </c>
      <c r="E985">
        <v>61.3</v>
      </c>
      <c r="F985">
        <v>1</v>
      </c>
      <c r="G985">
        <v>270000</v>
      </c>
    </row>
    <row r="986" spans="1:7">
      <c r="A986">
        <v>32</v>
      </c>
      <c r="B986">
        <v>576</v>
      </c>
      <c r="C986">
        <v>18</v>
      </c>
      <c r="D986">
        <v>5500</v>
      </c>
      <c r="E986">
        <v>61.3</v>
      </c>
      <c r="F986">
        <v>1</v>
      </c>
      <c r="G986">
        <v>99000</v>
      </c>
    </row>
    <row r="987" spans="1:7">
      <c r="A987">
        <v>80</v>
      </c>
      <c r="B987">
        <v>640</v>
      </c>
      <c r="C987">
        <v>8</v>
      </c>
      <c r="D987">
        <v>12500</v>
      </c>
      <c r="E987">
        <v>61.3</v>
      </c>
      <c r="F987">
        <v>0</v>
      </c>
      <c r="G987">
        <v>100000</v>
      </c>
    </row>
    <row r="988" spans="1:7">
      <c r="A988">
        <v>19</v>
      </c>
      <c r="B988">
        <v>256.5</v>
      </c>
      <c r="C988">
        <v>13.5</v>
      </c>
      <c r="D988">
        <v>30000</v>
      </c>
      <c r="E988">
        <v>61.3</v>
      </c>
      <c r="F988">
        <v>0</v>
      </c>
      <c r="G988">
        <v>405000</v>
      </c>
    </row>
    <row r="989" spans="1:7">
      <c r="A989">
        <v>30</v>
      </c>
      <c r="B989">
        <v>360</v>
      </c>
      <c r="C989">
        <v>12</v>
      </c>
      <c r="D989">
        <v>3500</v>
      </c>
      <c r="E989">
        <v>61.3</v>
      </c>
      <c r="F989">
        <v>1</v>
      </c>
      <c r="G989">
        <v>42000</v>
      </c>
    </row>
    <row r="990" spans="1:7">
      <c r="A990">
        <v>19</v>
      </c>
      <c r="B990">
        <v>256.5</v>
      </c>
      <c r="C990">
        <v>13.5</v>
      </c>
      <c r="D990">
        <v>3500</v>
      </c>
      <c r="E990">
        <v>61.3</v>
      </c>
      <c r="F990">
        <v>0</v>
      </c>
      <c r="G990">
        <v>47250</v>
      </c>
    </row>
    <row r="991" spans="1:7">
      <c r="A991">
        <v>56</v>
      </c>
      <c r="B991">
        <v>672</v>
      </c>
      <c r="C991">
        <v>12</v>
      </c>
      <c r="D991">
        <v>30000</v>
      </c>
      <c r="E991">
        <v>61.3</v>
      </c>
      <c r="F991">
        <v>0</v>
      </c>
      <c r="G991">
        <v>360000</v>
      </c>
    </row>
    <row r="992" spans="1:7">
      <c r="A992">
        <v>17</v>
      </c>
      <c r="B992">
        <v>170</v>
      </c>
      <c r="C992">
        <v>10</v>
      </c>
      <c r="D992">
        <v>3500</v>
      </c>
      <c r="E992">
        <v>61.3</v>
      </c>
      <c r="F992">
        <v>0</v>
      </c>
      <c r="G992">
        <v>35000</v>
      </c>
    </row>
    <row r="993" spans="1:7">
      <c r="A993">
        <v>77</v>
      </c>
      <c r="B993">
        <v>462</v>
      </c>
      <c r="C993">
        <v>6</v>
      </c>
      <c r="D993">
        <v>8500</v>
      </c>
      <c r="E993">
        <v>61.3</v>
      </c>
      <c r="F993">
        <v>0</v>
      </c>
      <c r="G993">
        <v>51000</v>
      </c>
    </row>
    <row r="994" spans="1:7">
      <c r="A994">
        <v>29</v>
      </c>
      <c r="B994">
        <v>348</v>
      </c>
      <c r="C994">
        <v>12</v>
      </c>
      <c r="D994">
        <v>20000</v>
      </c>
      <c r="E994">
        <v>61.3</v>
      </c>
      <c r="F994">
        <v>1</v>
      </c>
      <c r="G994">
        <v>240000</v>
      </c>
    </row>
    <row r="995" spans="1:7">
      <c r="A995">
        <v>60</v>
      </c>
      <c r="B995">
        <v>720</v>
      </c>
      <c r="C995">
        <v>12</v>
      </c>
      <c r="D995">
        <v>12500</v>
      </c>
      <c r="E995">
        <v>61.3</v>
      </c>
      <c r="F995">
        <v>1</v>
      </c>
      <c r="G995">
        <v>150000</v>
      </c>
    </row>
    <row r="996" spans="1:7">
      <c r="A996">
        <v>38</v>
      </c>
      <c r="B996">
        <v>513</v>
      </c>
      <c r="C996">
        <v>13.5</v>
      </c>
      <c r="D996">
        <v>30000</v>
      </c>
      <c r="E996">
        <v>61.3</v>
      </c>
      <c r="F996">
        <v>1</v>
      </c>
      <c r="G996">
        <v>405000</v>
      </c>
    </row>
    <row r="997" spans="1:7">
      <c r="A997">
        <v>65</v>
      </c>
      <c r="B997">
        <v>520</v>
      </c>
      <c r="C997">
        <v>8</v>
      </c>
      <c r="D997">
        <v>12500</v>
      </c>
      <c r="E997">
        <v>61.3</v>
      </c>
      <c r="F997">
        <v>1</v>
      </c>
      <c r="G997">
        <v>100000</v>
      </c>
    </row>
    <row r="998" spans="1:7">
      <c r="A998">
        <v>60</v>
      </c>
      <c r="B998">
        <v>720</v>
      </c>
      <c r="C998">
        <v>12</v>
      </c>
      <c r="D998">
        <v>20000</v>
      </c>
      <c r="E998">
        <v>61.3</v>
      </c>
      <c r="F998">
        <v>1</v>
      </c>
      <c r="G998">
        <v>240000</v>
      </c>
    </row>
    <row r="999" spans="1:7">
      <c r="A999">
        <v>58</v>
      </c>
      <c r="B999">
        <v>580</v>
      </c>
      <c r="C999">
        <v>10</v>
      </c>
      <c r="D999">
        <v>30000</v>
      </c>
      <c r="E999">
        <v>61.3</v>
      </c>
      <c r="F999">
        <v>1</v>
      </c>
      <c r="G999">
        <v>300000</v>
      </c>
    </row>
    <row r="1000" spans="1:7">
      <c r="A1000">
        <v>67</v>
      </c>
      <c r="B1000">
        <v>536</v>
      </c>
      <c r="C1000">
        <v>8</v>
      </c>
      <c r="D1000">
        <v>8500</v>
      </c>
      <c r="E1000">
        <v>61.3</v>
      </c>
      <c r="F1000">
        <v>0</v>
      </c>
      <c r="G1000">
        <v>68000</v>
      </c>
    </row>
    <row r="1001" spans="1:7">
      <c r="A1001">
        <v>69</v>
      </c>
      <c r="B1001">
        <v>552</v>
      </c>
      <c r="C1001">
        <v>8</v>
      </c>
      <c r="D1001">
        <v>8500</v>
      </c>
      <c r="E1001">
        <v>61.3</v>
      </c>
      <c r="F1001">
        <v>0</v>
      </c>
      <c r="G1001">
        <v>68000</v>
      </c>
    </row>
    <row r="1002" spans="1:7">
      <c r="A1002">
        <v>23</v>
      </c>
      <c r="B1002">
        <v>310.5</v>
      </c>
      <c r="C1002">
        <v>13.5</v>
      </c>
      <c r="D1002">
        <v>30000</v>
      </c>
      <c r="E1002">
        <v>61.3</v>
      </c>
      <c r="F1002">
        <v>0</v>
      </c>
      <c r="G1002">
        <v>405000</v>
      </c>
    </row>
    <row r="1003" spans="1:7">
      <c r="A1003">
        <v>59</v>
      </c>
      <c r="B1003">
        <v>590</v>
      </c>
      <c r="C1003">
        <v>10</v>
      </c>
      <c r="D1003">
        <v>30000</v>
      </c>
      <c r="E1003">
        <v>61.3</v>
      </c>
      <c r="F1003">
        <v>1</v>
      </c>
      <c r="G1003">
        <v>300000</v>
      </c>
    </row>
    <row r="1004" spans="1:7">
      <c r="A1004">
        <v>57</v>
      </c>
      <c r="B1004">
        <v>684</v>
      </c>
      <c r="C1004">
        <v>12</v>
      </c>
      <c r="D1004">
        <v>12500</v>
      </c>
      <c r="E1004">
        <v>61.3</v>
      </c>
      <c r="F1004">
        <v>0</v>
      </c>
      <c r="G1004">
        <v>150000</v>
      </c>
    </row>
    <row r="1005" spans="1:7">
      <c r="A1005">
        <v>34</v>
      </c>
      <c r="B1005">
        <v>612</v>
      </c>
      <c r="C1005">
        <v>18</v>
      </c>
      <c r="D1005">
        <v>8500</v>
      </c>
      <c r="E1005">
        <v>61.3</v>
      </c>
      <c r="F1005">
        <v>1</v>
      </c>
      <c r="G1005">
        <v>153000</v>
      </c>
    </row>
    <row r="1006" spans="1:7">
      <c r="A1006">
        <v>57</v>
      </c>
      <c r="B1006">
        <v>912</v>
      </c>
      <c r="C1006">
        <v>16</v>
      </c>
      <c r="D1006">
        <v>30000</v>
      </c>
      <c r="E1006">
        <v>61.3</v>
      </c>
      <c r="F1006">
        <v>0</v>
      </c>
      <c r="G1006">
        <v>480000</v>
      </c>
    </row>
    <row r="1007" spans="1:7">
      <c r="A1007">
        <v>27</v>
      </c>
      <c r="B1007">
        <v>270</v>
      </c>
      <c r="C1007">
        <v>10</v>
      </c>
      <c r="D1007">
        <v>8500</v>
      </c>
      <c r="E1007">
        <v>61.3</v>
      </c>
      <c r="F1007">
        <v>1</v>
      </c>
      <c r="G1007">
        <v>85000</v>
      </c>
    </row>
    <row r="1008" spans="1:7">
      <c r="A1008">
        <v>54</v>
      </c>
      <c r="B1008">
        <v>729</v>
      </c>
      <c r="C1008">
        <v>13.5</v>
      </c>
      <c r="D1008">
        <v>20000</v>
      </c>
      <c r="E1008">
        <v>61.3</v>
      </c>
      <c r="F1008">
        <v>0</v>
      </c>
      <c r="G1008">
        <v>270000</v>
      </c>
    </row>
    <row r="1009" spans="1:7">
      <c r="A1009">
        <v>20</v>
      </c>
      <c r="B1009">
        <v>240</v>
      </c>
      <c r="C1009">
        <v>12</v>
      </c>
      <c r="D1009">
        <v>12500</v>
      </c>
      <c r="E1009">
        <v>61.3</v>
      </c>
      <c r="F1009">
        <v>0</v>
      </c>
      <c r="G1009">
        <v>150000</v>
      </c>
    </row>
    <row r="1010" spans="1:7">
      <c r="A1010">
        <v>42</v>
      </c>
      <c r="B1010">
        <v>420</v>
      </c>
      <c r="C1010">
        <v>10</v>
      </c>
      <c r="D1010">
        <v>12500</v>
      </c>
      <c r="E1010">
        <v>61.3</v>
      </c>
      <c r="F1010">
        <v>0</v>
      </c>
      <c r="G1010">
        <v>125000</v>
      </c>
    </row>
    <row r="1011" spans="1:7">
      <c r="A1011">
        <v>54</v>
      </c>
      <c r="B1011">
        <v>810</v>
      </c>
      <c r="C1011">
        <v>15</v>
      </c>
      <c r="D1011">
        <v>30000</v>
      </c>
      <c r="E1011">
        <v>61.3</v>
      </c>
      <c r="F1011">
        <v>0</v>
      </c>
      <c r="G1011">
        <v>450000</v>
      </c>
    </row>
    <row r="1012" spans="1:7">
      <c r="A1012">
        <v>45</v>
      </c>
      <c r="B1012">
        <v>540</v>
      </c>
      <c r="C1012">
        <v>12</v>
      </c>
      <c r="D1012">
        <v>30000</v>
      </c>
      <c r="E1012">
        <v>61.3</v>
      </c>
      <c r="F1012">
        <v>1</v>
      </c>
      <c r="G1012">
        <v>360000</v>
      </c>
    </row>
    <row r="1013" spans="1:7">
      <c r="A1013">
        <v>66</v>
      </c>
      <c r="B1013">
        <v>528</v>
      </c>
      <c r="C1013">
        <v>8</v>
      </c>
      <c r="D1013">
        <v>8500</v>
      </c>
      <c r="E1013">
        <v>61.3</v>
      </c>
      <c r="F1013">
        <v>0</v>
      </c>
      <c r="G1013">
        <v>68000</v>
      </c>
    </row>
    <row r="1014" spans="1:7">
      <c r="A1014">
        <v>44</v>
      </c>
      <c r="B1014">
        <v>352</v>
      </c>
      <c r="C1014">
        <v>8</v>
      </c>
      <c r="D1014">
        <v>20000</v>
      </c>
      <c r="E1014">
        <v>61.3</v>
      </c>
      <c r="F1014">
        <v>0</v>
      </c>
      <c r="G1014">
        <v>160000</v>
      </c>
    </row>
    <row r="1015" spans="1:7">
      <c r="A1015">
        <v>29</v>
      </c>
      <c r="B1015">
        <v>348</v>
      </c>
      <c r="C1015">
        <v>12</v>
      </c>
      <c r="D1015">
        <v>12500</v>
      </c>
      <c r="E1015">
        <v>60</v>
      </c>
      <c r="F1015">
        <v>0</v>
      </c>
      <c r="G1015">
        <v>150000</v>
      </c>
    </row>
    <row r="1016" spans="1:7">
      <c r="A1016">
        <v>70</v>
      </c>
      <c r="B1016">
        <v>700</v>
      </c>
      <c r="C1016">
        <v>10</v>
      </c>
      <c r="D1016">
        <v>12500</v>
      </c>
      <c r="E1016">
        <v>60</v>
      </c>
      <c r="F1016">
        <v>0</v>
      </c>
      <c r="G1016">
        <v>125000</v>
      </c>
    </row>
    <row r="1017" spans="1:7">
      <c r="A1017">
        <v>38</v>
      </c>
      <c r="B1017">
        <v>456</v>
      </c>
      <c r="C1017">
        <v>12</v>
      </c>
      <c r="D1017">
        <v>20000</v>
      </c>
      <c r="E1017">
        <v>60</v>
      </c>
      <c r="F1017">
        <v>1</v>
      </c>
      <c r="G1017">
        <v>240000</v>
      </c>
    </row>
    <row r="1018" spans="1:7">
      <c r="A1018">
        <v>23</v>
      </c>
      <c r="B1018">
        <v>276</v>
      </c>
      <c r="C1018">
        <v>12</v>
      </c>
      <c r="D1018">
        <v>12500</v>
      </c>
      <c r="E1018">
        <v>60</v>
      </c>
      <c r="F1018">
        <v>0</v>
      </c>
      <c r="G1018">
        <v>150000</v>
      </c>
    </row>
    <row r="1019" spans="1:7">
      <c r="A1019">
        <v>21</v>
      </c>
      <c r="B1019">
        <v>283.5</v>
      </c>
      <c r="C1019">
        <v>13.5</v>
      </c>
      <c r="D1019">
        <v>30000</v>
      </c>
      <c r="E1019">
        <v>52.3</v>
      </c>
      <c r="F1019">
        <v>1</v>
      </c>
      <c r="G1019">
        <v>405000</v>
      </c>
    </row>
    <row r="1020" spans="1:7">
      <c r="A1020">
        <v>58</v>
      </c>
      <c r="B1020">
        <v>580</v>
      </c>
      <c r="C1020">
        <v>10</v>
      </c>
      <c r="D1020">
        <v>6500</v>
      </c>
      <c r="E1020">
        <v>52.3</v>
      </c>
      <c r="F1020">
        <v>0</v>
      </c>
      <c r="G1020">
        <v>65000</v>
      </c>
    </row>
    <row r="1021" spans="1:7">
      <c r="A1021">
        <v>32</v>
      </c>
      <c r="B1021">
        <v>192</v>
      </c>
      <c r="C1021">
        <v>6</v>
      </c>
      <c r="D1021">
        <v>2500</v>
      </c>
      <c r="E1021">
        <v>52.3</v>
      </c>
      <c r="F1021">
        <v>0</v>
      </c>
      <c r="G1021">
        <v>15000</v>
      </c>
    </row>
    <row r="1022" spans="1:7">
      <c r="A1022">
        <v>20</v>
      </c>
      <c r="B1022">
        <v>200</v>
      </c>
      <c r="C1022">
        <v>10</v>
      </c>
      <c r="D1022">
        <v>12500</v>
      </c>
      <c r="E1022">
        <v>52.3</v>
      </c>
      <c r="F1022">
        <v>1</v>
      </c>
      <c r="G1022">
        <v>125000</v>
      </c>
    </row>
    <row r="1023" spans="1:7">
      <c r="A1023">
        <v>30</v>
      </c>
      <c r="B1023">
        <v>480</v>
      </c>
      <c r="C1023">
        <v>16</v>
      </c>
      <c r="D1023">
        <v>20000</v>
      </c>
      <c r="E1023">
        <v>52.3</v>
      </c>
      <c r="F1023">
        <v>1</v>
      </c>
      <c r="G1023">
        <v>320000</v>
      </c>
    </row>
    <row r="1024" spans="1:7">
      <c r="A1024">
        <v>42</v>
      </c>
      <c r="B1024">
        <v>756</v>
      </c>
      <c r="C1024">
        <v>18</v>
      </c>
      <c r="D1024">
        <v>30000</v>
      </c>
      <c r="E1024">
        <v>52.3</v>
      </c>
      <c r="F1024">
        <v>0</v>
      </c>
      <c r="G1024">
        <v>540000</v>
      </c>
    </row>
    <row r="1025" spans="1:7">
      <c r="A1025">
        <v>35</v>
      </c>
      <c r="B1025">
        <v>420</v>
      </c>
      <c r="C1025">
        <v>12</v>
      </c>
      <c r="D1025">
        <v>6500</v>
      </c>
      <c r="E1025">
        <v>52.3</v>
      </c>
      <c r="F1025">
        <v>1</v>
      </c>
      <c r="G1025">
        <v>78000</v>
      </c>
    </row>
    <row r="1026" spans="1:7">
      <c r="A1026">
        <v>54</v>
      </c>
      <c r="B1026">
        <v>648</v>
      </c>
      <c r="C1026">
        <v>12</v>
      </c>
      <c r="D1026">
        <v>12500</v>
      </c>
      <c r="E1026">
        <v>52.3</v>
      </c>
      <c r="F1026">
        <v>0</v>
      </c>
      <c r="G1026">
        <v>150000</v>
      </c>
    </row>
    <row r="1027" spans="1:7">
      <c r="A1027">
        <v>85</v>
      </c>
      <c r="B1027">
        <v>0</v>
      </c>
      <c r="C1027">
        <v>0</v>
      </c>
      <c r="D1027">
        <v>6500</v>
      </c>
      <c r="E1027">
        <v>52.3</v>
      </c>
      <c r="F1027">
        <v>0</v>
      </c>
      <c r="G1027">
        <v>0</v>
      </c>
    </row>
    <row r="1028" spans="1:7">
      <c r="A1028">
        <v>24</v>
      </c>
      <c r="B1028">
        <v>360</v>
      </c>
      <c r="C1028">
        <v>15</v>
      </c>
      <c r="D1028">
        <v>12500</v>
      </c>
      <c r="E1028">
        <v>52.3</v>
      </c>
      <c r="F1028">
        <v>0</v>
      </c>
      <c r="G1028">
        <v>187500</v>
      </c>
    </row>
    <row r="1029" spans="1:7">
      <c r="A1029">
        <v>29</v>
      </c>
      <c r="B1029">
        <v>522</v>
      </c>
      <c r="C1029">
        <v>18</v>
      </c>
      <c r="D1029">
        <v>20000</v>
      </c>
      <c r="E1029">
        <v>60.3</v>
      </c>
      <c r="F1029">
        <v>0</v>
      </c>
      <c r="G1029">
        <v>360000</v>
      </c>
    </row>
    <row r="1030" spans="1:7">
      <c r="A1030">
        <v>55</v>
      </c>
      <c r="B1030">
        <v>880</v>
      </c>
      <c r="C1030">
        <v>16</v>
      </c>
      <c r="D1030">
        <v>30000</v>
      </c>
      <c r="E1030">
        <v>60.3</v>
      </c>
      <c r="F1030">
        <v>0</v>
      </c>
      <c r="G1030">
        <v>480000</v>
      </c>
    </row>
    <row r="1031" spans="1:7">
      <c r="A1031">
        <v>35</v>
      </c>
      <c r="B1031">
        <v>560</v>
      </c>
      <c r="C1031">
        <v>16</v>
      </c>
      <c r="D1031">
        <v>30000</v>
      </c>
      <c r="E1031">
        <v>60.3</v>
      </c>
      <c r="F1031">
        <v>0</v>
      </c>
      <c r="G1031">
        <v>480000</v>
      </c>
    </row>
    <row r="1032" spans="1:7">
      <c r="A1032">
        <v>24</v>
      </c>
      <c r="B1032">
        <v>324</v>
      </c>
      <c r="C1032">
        <v>13.5</v>
      </c>
      <c r="D1032">
        <v>8500</v>
      </c>
      <c r="E1032">
        <v>60.3</v>
      </c>
      <c r="F1032">
        <v>0</v>
      </c>
      <c r="G1032">
        <v>114750</v>
      </c>
    </row>
    <row r="1033" spans="1:7">
      <c r="A1033">
        <v>59</v>
      </c>
      <c r="B1033">
        <v>944</v>
      </c>
      <c r="C1033">
        <v>16</v>
      </c>
      <c r="D1033">
        <v>20000</v>
      </c>
      <c r="E1033">
        <v>60.3</v>
      </c>
      <c r="F1033">
        <v>1</v>
      </c>
      <c r="G1033">
        <v>320000</v>
      </c>
    </row>
    <row r="1034" spans="1:7">
      <c r="A1034">
        <v>22</v>
      </c>
      <c r="B1034">
        <v>297</v>
      </c>
      <c r="C1034">
        <v>13.5</v>
      </c>
      <c r="D1034">
        <v>30000</v>
      </c>
      <c r="E1034">
        <v>60.3</v>
      </c>
      <c r="F1034">
        <v>1</v>
      </c>
      <c r="G1034">
        <v>405000</v>
      </c>
    </row>
    <row r="1035" spans="1:7">
      <c r="A1035">
        <v>70</v>
      </c>
      <c r="B1035">
        <v>560</v>
      </c>
      <c r="C1035">
        <v>8</v>
      </c>
      <c r="D1035">
        <v>2500</v>
      </c>
      <c r="E1035">
        <v>60.3</v>
      </c>
      <c r="F1035">
        <v>1</v>
      </c>
      <c r="G1035">
        <v>20000</v>
      </c>
    </row>
    <row r="1036" spans="1:7">
      <c r="A1036">
        <v>31</v>
      </c>
      <c r="B1036">
        <v>372</v>
      </c>
      <c r="C1036">
        <v>12</v>
      </c>
      <c r="D1036">
        <v>20000</v>
      </c>
      <c r="E1036">
        <v>60.3</v>
      </c>
      <c r="F1036">
        <v>0</v>
      </c>
      <c r="G1036">
        <v>240000</v>
      </c>
    </row>
    <row r="1037" spans="1:7">
      <c r="A1037">
        <v>55</v>
      </c>
      <c r="B1037">
        <v>137.5</v>
      </c>
      <c r="C1037">
        <v>2.5</v>
      </c>
      <c r="D1037">
        <v>12500</v>
      </c>
      <c r="E1037">
        <v>60.3</v>
      </c>
      <c r="F1037">
        <v>0</v>
      </c>
      <c r="G1037">
        <v>31250</v>
      </c>
    </row>
    <row r="1038" spans="1:7">
      <c r="A1038">
        <v>20</v>
      </c>
      <c r="B1038">
        <v>300</v>
      </c>
      <c r="C1038">
        <v>15</v>
      </c>
      <c r="D1038">
        <v>500</v>
      </c>
      <c r="E1038">
        <v>60.3</v>
      </c>
      <c r="F1038">
        <v>0</v>
      </c>
      <c r="G1038">
        <v>7500</v>
      </c>
    </row>
    <row r="1039" spans="1:7">
      <c r="A1039">
        <v>71</v>
      </c>
      <c r="B1039">
        <v>568</v>
      </c>
      <c r="C1039">
        <v>8</v>
      </c>
      <c r="D1039">
        <v>1500</v>
      </c>
      <c r="E1039">
        <v>60.3</v>
      </c>
      <c r="F1039">
        <v>0</v>
      </c>
      <c r="G1039">
        <v>12000</v>
      </c>
    </row>
    <row r="1040" spans="1:7">
      <c r="A1040">
        <v>18</v>
      </c>
      <c r="B1040">
        <v>216</v>
      </c>
      <c r="C1040">
        <v>12</v>
      </c>
      <c r="D1040">
        <v>30000</v>
      </c>
      <c r="E1040">
        <v>60.3</v>
      </c>
      <c r="F1040">
        <v>1</v>
      </c>
      <c r="G1040">
        <v>360000</v>
      </c>
    </row>
    <row r="1041" spans="1:7">
      <c r="A1041">
        <v>35</v>
      </c>
      <c r="B1041">
        <v>630</v>
      </c>
      <c r="C1041">
        <v>18</v>
      </c>
      <c r="D1041">
        <v>12500</v>
      </c>
      <c r="E1041">
        <v>60.3</v>
      </c>
      <c r="F1041">
        <v>1</v>
      </c>
      <c r="G1041">
        <v>225000</v>
      </c>
    </row>
    <row r="1042" spans="1:7">
      <c r="A1042">
        <v>66</v>
      </c>
      <c r="B1042">
        <v>792</v>
      </c>
      <c r="C1042">
        <v>12</v>
      </c>
      <c r="D1042">
        <v>12500</v>
      </c>
      <c r="E1042">
        <v>60.3</v>
      </c>
      <c r="F1042">
        <v>1</v>
      </c>
      <c r="G1042">
        <v>150000</v>
      </c>
    </row>
    <row r="1043" spans="1:7">
      <c r="A1043">
        <v>27</v>
      </c>
      <c r="B1043">
        <v>324</v>
      </c>
      <c r="C1043">
        <v>12</v>
      </c>
      <c r="D1043">
        <v>20000</v>
      </c>
      <c r="E1043">
        <v>60.3</v>
      </c>
      <c r="F1043">
        <v>1</v>
      </c>
      <c r="G1043">
        <v>240000</v>
      </c>
    </row>
    <row r="1044" spans="1:7">
      <c r="A1044">
        <v>23</v>
      </c>
      <c r="B1044">
        <v>276</v>
      </c>
      <c r="C1044">
        <v>12</v>
      </c>
      <c r="D1044">
        <v>30000</v>
      </c>
      <c r="E1044">
        <v>60.3</v>
      </c>
      <c r="F1044">
        <v>1</v>
      </c>
      <c r="G1044">
        <v>360000</v>
      </c>
    </row>
    <row r="1045" spans="1:7">
      <c r="A1045">
        <v>30</v>
      </c>
      <c r="B1045">
        <v>360</v>
      </c>
      <c r="C1045">
        <v>12</v>
      </c>
      <c r="D1045">
        <v>20000</v>
      </c>
      <c r="E1045">
        <v>63.7</v>
      </c>
      <c r="F1045">
        <v>0</v>
      </c>
      <c r="G1045">
        <v>240000</v>
      </c>
    </row>
    <row r="1046" spans="1:7">
      <c r="A1046">
        <v>18</v>
      </c>
      <c r="B1046">
        <v>216</v>
      </c>
      <c r="C1046">
        <v>12</v>
      </c>
      <c r="D1046">
        <v>20000</v>
      </c>
      <c r="E1046">
        <v>63.7</v>
      </c>
      <c r="F1046">
        <v>1</v>
      </c>
      <c r="G1046">
        <v>240000</v>
      </c>
    </row>
    <row r="1047" spans="1:7">
      <c r="A1047">
        <v>19</v>
      </c>
      <c r="B1047">
        <v>228</v>
      </c>
      <c r="C1047">
        <v>12</v>
      </c>
      <c r="D1047">
        <v>4500</v>
      </c>
      <c r="E1047">
        <v>63.7</v>
      </c>
      <c r="F1047">
        <v>1</v>
      </c>
      <c r="G1047">
        <v>54000</v>
      </c>
    </row>
    <row r="1048" spans="1:7">
      <c r="A1048">
        <v>19</v>
      </c>
      <c r="B1048">
        <v>190</v>
      </c>
      <c r="C1048">
        <v>10</v>
      </c>
      <c r="D1048">
        <v>20000</v>
      </c>
      <c r="E1048">
        <v>63.7</v>
      </c>
      <c r="F1048">
        <v>0</v>
      </c>
      <c r="G1048">
        <v>200000</v>
      </c>
    </row>
    <row r="1049" spans="1:7">
      <c r="A1049">
        <v>42</v>
      </c>
      <c r="B1049">
        <v>672</v>
      </c>
      <c r="C1049">
        <v>16</v>
      </c>
      <c r="D1049">
        <v>30000</v>
      </c>
      <c r="E1049">
        <v>63.7</v>
      </c>
      <c r="F1049">
        <v>0</v>
      </c>
      <c r="G1049">
        <v>480000</v>
      </c>
    </row>
    <row r="1050" spans="1:7">
      <c r="A1050">
        <v>29</v>
      </c>
      <c r="B1050">
        <v>391.5</v>
      </c>
      <c r="C1050">
        <v>13.5</v>
      </c>
      <c r="D1050">
        <v>30000</v>
      </c>
      <c r="E1050">
        <v>63.7</v>
      </c>
      <c r="F1050">
        <v>0</v>
      </c>
      <c r="G1050">
        <v>405000</v>
      </c>
    </row>
    <row r="1051" spans="1:7">
      <c r="A1051">
        <v>60</v>
      </c>
      <c r="B1051">
        <v>600</v>
      </c>
      <c r="C1051">
        <v>10</v>
      </c>
      <c r="D1051">
        <v>12500</v>
      </c>
      <c r="E1051">
        <v>63.7</v>
      </c>
      <c r="F1051">
        <v>0</v>
      </c>
      <c r="G1051">
        <v>125000</v>
      </c>
    </row>
    <row r="1052" spans="1:7">
      <c r="A1052">
        <v>52</v>
      </c>
      <c r="B1052">
        <v>520</v>
      </c>
      <c r="C1052">
        <v>10</v>
      </c>
      <c r="D1052">
        <v>20000</v>
      </c>
      <c r="E1052">
        <v>63.7</v>
      </c>
      <c r="F1052">
        <v>0</v>
      </c>
      <c r="G1052">
        <v>200000</v>
      </c>
    </row>
    <row r="1053" spans="1:7">
      <c r="A1053">
        <v>26</v>
      </c>
      <c r="B1053">
        <v>390</v>
      </c>
      <c r="C1053">
        <v>15</v>
      </c>
      <c r="D1053">
        <v>20000</v>
      </c>
      <c r="E1053">
        <v>63.7</v>
      </c>
      <c r="F1053">
        <v>1</v>
      </c>
      <c r="G1053">
        <v>300000</v>
      </c>
    </row>
    <row r="1054" spans="1:7">
      <c r="A1054">
        <v>49</v>
      </c>
      <c r="B1054">
        <v>294</v>
      </c>
      <c r="C1054">
        <v>6</v>
      </c>
      <c r="D1054">
        <v>5500</v>
      </c>
      <c r="E1054">
        <v>63.7</v>
      </c>
      <c r="F1054">
        <v>1</v>
      </c>
      <c r="G1054">
        <v>33000</v>
      </c>
    </row>
    <row r="1055" spans="1:7">
      <c r="A1055">
        <v>31</v>
      </c>
      <c r="B1055">
        <v>248</v>
      </c>
      <c r="C1055">
        <v>8</v>
      </c>
      <c r="D1055">
        <v>8500</v>
      </c>
      <c r="E1055">
        <v>63.7</v>
      </c>
      <c r="F1055">
        <v>0</v>
      </c>
      <c r="G1055">
        <v>68000</v>
      </c>
    </row>
    <row r="1056" spans="1:7">
      <c r="A1056">
        <v>75</v>
      </c>
      <c r="B1056">
        <v>450</v>
      </c>
      <c r="C1056">
        <v>6</v>
      </c>
      <c r="D1056">
        <v>8500</v>
      </c>
      <c r="E1056">
        <v>63.7</v>
      </c>
      <c r="F1056">
        <v>0</v>
      </c>
      <c r="G1056">
        <v>51000</v>
      </c>
    </row>
    <row r="1057" spans="1:7">
      <c r="A1057">
        <v>49</v>
      </c>
      <c r="B1057">
        <v>490</v>
      </c>
      <c r="C1057">
        <v>10</v>
      </c>
      <c r="D1057">
        <v>30000</v>
      </c>
      <c r="E1057">
        <v>63.7</v>
      </c>
      <c r="F1057">
        <v>0</v>
      </c>
      <c r="G1057">
        <v>300000</v>
      </c>
    </row>
    <row r="1058" spans="1:7">
      <c r="A1058">
        <v>71</v>
      </c>
      <c r="B1058">
        <v>710</v>
      </c>
      <c r="C1058">
        <v>10</v>
      </c>
      <c r="D1058">
        <v>6500</v>
      </c>
      <c r="E1058">
        <v>63.7</v>
      </c>
      <c r="F1058">
        <v>0</v>
      </c>
      <c r="G1058">
        <v>65000</v>
      </c>
    </row>
    <row r="1059" spans="1:7">
      <c r="A1059">
        <v>78</v>
      </c>
      <c r="B1059">
        <v>936</v>
      </c>
      <c r="C1059">
        <v>12</v>
      </c>
      <c r="D1059">
        <v>12500</v>
      </c>
      <c r="E1059">
        <v>63.7</v>
      </c>
      <c r="F1059">
        <v>0</v>
      </c>
      <c r="G1059">
        <v>150000</v>
      </c>
    </row>
    <row r="1060" spans="1:7">
      <c r="A1060">
        <v>36</v>
      </c>
      <c r="B1060">
        <v>432</v>
      </c>
      <c r="C1060">
        <v>12</v>
      </c>
      <c r="D1060">
        <v>20000</v>
      </c>
      <c r="E1060">
        <v>63.7</v>
      </c>
      <c r="F1060">
        <v>1</v>
      </c>
      <c r="G1060">
        <v>240000</v>
      </c>
    </row>
    <row r="1061" spans="1:7">
      <c r="A1061">
        <v>32</v>
      </c>
      <c r="B1061">
        <v>432</v>
      </c>
      <c r="C1061">
        <v>13.5</v>
      </c>
      <c r="D1061">
        <v>12500</v>
      </c>
      <c r="E1061">
        <v>63.7</v>
      </c>
      <c r="F1061">
        <v>1</v>
      </c>
      <c r="G1061">
        <v>168750</v>
      </c>
    </row>
    <row r="1062" spans="1:7">
      <c r="A1062">
        <v>64</v>
      </c>
      <c r="B1062">
        <v>640</v>
      </c>
      <c r="C1062">
        <v>10</v>
      </c>
      <c r="D1062">
        <v>20000</v>
      </c>
      <c r="E1062">
        <v>63.7</v>
      </c>
      <c r="F1062">
        <v>1</v>
      </c>
      <c r="G1062">
        <v>200000</v>
      </c>
    </row>
    <row r="1063" spans="1:7">
      <c r="A1063">
        <v>21</v>
      </c>
      <c r="B1063">
        <v>252</v>
      </c>
      <c r="C1063">
        <v>12</v>
      </c>
      <c r="D1063">
        <v>20000</v>
      </c>
      <c r="E1063">
        <v>63.7</v>
      </c>
      <c r="F1063">
        <v>1</v>
      </c>
      <c r="G1063">
        <v>240000</v>
      </c>
    </row>
    <row r="1064" spans="1:7">
      <c r="A1064">
        <v>35</v>
      </c>
      <c r="B1064">
        <v>350</v>
      </c>
      <c r="C1064">
        <v>10</v>
      </c>
      <c r="D1064">
        <v>12500</v>
      </c>
      <c r="E1064">
        <v>63.7</v>
      </c>
      <c r="F1064">
        <v>0</v>
      </c>
      <c r="G1064">
        <v>125000</v>
      </c>
    </row>
    <row r="1065" spans="1:7">
      <c r="A1065">
        <v>82</v>
      </c>
      <c r="B1065">
        <v>984</v>
      </c>
      <c r="C1065">
        <v>12</v>
      </c>
      <c r="D1065">
        <v>12500</v>
      </c>
      <c r="E1065">
        <v>63.7</v>
      </c>
      <c r="F1065">
        <v>0</v>
      </c>
      <c r="G1065">
        <v>150000</v>
      </c>
    </row>
    <row r="1066" spans="1:7">
      <c r="A1066">
        <v>71</v>
      </c>
      <c r="B1066">
        <v>568</v>
      </c>
      <c r="C1066">
        <v>8</v>
      </c>
      <c r="D1066">
        <v>8500</v>
      </c>
      <c r="E1066">
        <v>63.7</v>
      </c>
      <c r="F1066">
        <v>0</v>
      </c>
      <c r="G1066">
        <v>68000</v>
      </c>
    </row>
    <row r="1067" spans="1:7">
      <c r="A1067">
        <v>67</v>
      </c>
      <c r="B1067">
        <v>804</v>
      </c>
      <c r="C1067">
        <v>12</v>
      </c>
      <c r="D1067">
        <v>4500</v>
      </c>
      <c r="E1067">
        <v>63.7</v>
      </c>
      <c r="F1067">
        <v>0</v>
      </c>
      <c r="G1067">
        <v>54000</v>
      </c>
    </row>
    <row r="1068" spans="1:7">
      <c r="A1068">
        <v>61</v>
      </c>
      <c r="B1068">
        <v>823.5</v>
      </c>
      <c r="C1068">
        <v>13.5</v>
      </c>
      <c r="D1068">
        <v>20000</v>
      </c>
      <c r="E1068">
        <v>63.7</v>
      </c>
      <c r="F1068">
        <v>0</v>
      </c>
      <c r="G1068">
        <v>270000</v>
      </c>
    </row>
    <row r="1069" spans="1:7">
      <c r="A1069">
        <v>30</v>
      </c>
      <c r="B1069">
        <v>360</v>
      </c>
      <c r="C1069">
        <v>12</v>
      </c>
      <c r="D1069">
        <v>20000</v>
      </c>
      <c r="E1069">
        <v>63.7</v>
      </c>
      <c r="F1069">
        <v>0</v>
      </c>
      <c r="G1069">
        <v>240000</v>
      </c>
    </row>
    <row r="1070" spans="1:7">
      <c r="A1070">
        <v>29</v>
      </c>
      <c r="B1070">
        <v>348</v>
      </c>
      <c r="C1070">
        <v>12</v>
      </c>
      <c r="D1070">
        <v>20000</v>
      </c>
      <c r="E1070">
        <v>63.7</v>
      </c>
      <c r="F1070">
        <v>1</v>
      </c>
      <c r="G1070">
        <v>240000</v>
      </c>
    </row>
    <row r="1071" spans="1:7">
      <c r="A1071">
        <v>49</v>
      </c>
      <c r="B1071">
        <v>122.5</v>
      </c>
      <c r="C1071">
        <v>2.5</v>
      </c>
      <c r="D1071">
        <v>30000</v>
      </c>
      <c r="E1071">
        <v>63.7</v>
      </c>
      <c r="F1071">
        <v>0</v>
      </c>
      <c r="G1071">
        <v>75000</v>
      </c>
    </row>
    <row r="1072" spans="1:7">
      <c r="A1072">
        <v>39</v>
      </c>
      <c r="B1072">
        <v>390</v>
      </c>
      <c r="C1072">
        <v>10</v>
      </c>
      <c r="D1072">
        <v>20000</v>
      </c>
      <c r="E1072">
        <v>63.7</v>
      </c>
      <c r="F1072">
        <v>0</v>
      </c>
      <c r="G1072">
        <v>200000</v>
      </c>
    </row>
    <row r="1073" spans="1:7">
      <c r="A1073">
        <v>28</v>
      </c>
      <c r="B1073">
        <v>336</v>
      </c>
      <c r="C1073">
        <v>12</v>
      </c>
      <c r="D1073">
        <v>20000</v>
      </c>
      <c r="E1073">
        <v>63.7</v>
      </c>
      <c r="F1073">
        <v>1</v>
      </c>
      <c r="G1073">
        <v>240000</v>
      </c>
    </row>
    <row r="1074" spans="1:7">
      <c r="A1074">
        <v>41</v>
      </c>
      <c r="B1074">
        <v>492</v>
      </c>
      <c r="C1074">
        <v>12</v>
      </c>
      <c r="D1074">
        <v>20000</v>
      </c>
      <c r="E1074">
        <v>63.7</v>
      </c>
      <c r="F1074">
        <v>0</v>
      </c>
      <c r="G1074">
        <v>240000</v>
      </c>
    </row>
    <row r="1075" spans="1:7">
      <c r="A1075">
        <v>70</v>
      </c>
      <c r="B1075">
        <v>560</v>
      </c>
      <c r="C1075">
        <v>8</v>
      </c>
      <c r="D1075">
        <v>6500</v>
      </c>
      <c r="E1075">
        <v>63.7</v>
      </c>
      <c r="F1075">
        <v>0</v>
      </c>
      <c r="G1075">
        <v>52000</v>
      </c>
    </row>
    <row r="1076" spans="1:7">
      <c r="A1076">
        <v>18</v>
      </c>
      <c r="B1076">
        <v>216</v>
      </c>
      <c r="C1076">
        <v>12</v>
      </c>
      <c r="D1076">
        <v>30000</v>
      </c>
      <c r="E1076">
        <v>63.7</v>
      </c>
      <c r="F1076">
        <v>0</v>
      </c>
      <c r="G1076">
        <v>360000</v>
      </c>
    </row>
    <row r="1077" spans="1:7">
      <c r="A1077">
        <v>47</v>
      </c>
      <c r="B1077">
        <v>752</v>
      </c>
      <c r="C1077">
        <v>16</v>
      </c>
      <c r="D1077">
        <v>30000</v>
      </c>
      <c r="E1077">
        <v>63.7</v>
      </c>
      <c r="F1077">
        <v>0</v>
      </c>
      <c r="G1077">
        <v>480000</v>
      </c>
    </row>
    <row r="1078" spans="1:7">
      <c r="A1078">
        <v>17</v>
      </c>
      <c r="B1078">
        <v>170</v>
      </c>
      <c r="C1078">
        <v>10</v>
      </c>
      <c r="D1078">
        <v>30000</v>
      </c>
      <c r="E1078">
        <v>63.7</v>
      </c>
      <c r="F1078">
        <v>0</v>
      </c>
      <c r="G1078">
        <v>300000</v>
      </c>
    </row>
    <row r="1079" spans="1:7">
      <c r="A1079">
        <v>37</v>
      </c>
      <c r="B1079">
        <v>296</v>
      </c>
      <c r="C1079">
        <v>8</v>
      </c>
      <c r="D1079">
        <v>20000</v>
      </c>
      <c r="E1079">
        <v>63.7</v>
      </c>
      <c r="F1079">
        <v>0</v>
      </c>
      <c r="G1079">
        <v>160000</v>
      </c>
    </row>
    <row r="1080" spans="1:7">
      <c r="A1080">
        <v>31</v>
      </c>
      <c r="B1080">
        <v>558</v>
      </c>
      <c r="C1080">
        <v>18</v>
      </c>
      <c r="D1080">
        <v>30000</v>
      </c>
      <c r="E1080">
        <v>63.7</v>
      </c>
      <c r="F1080">
        <v>1</v>
      </c>
      <c r="G1080">
        <v>540000</v>
      </c>
    </row>
    <row r="1081" spans="1:7">
      <c r="A1081">
        <v>72</v>
      </c>
      <c r="B1081">
        <v>720</v>
      </c>
      <c r="C1081">
        <v>10</v>
      </c>
      <c r="D1081">
        <v>5500</v>
      </c>
      <c r="E1081">
        <v>63.7</v>
      </c>
      <c r="F1081">
        <v>0</v>
      </c>
      <c r="G1081">
        <v>55000</v>
      </c>
    </row>
    <row r="1082" spans="1:7">
      <c r="A1082">
        <v>31</v>
      </c>
      <c r="B1082">
        <v>372</v>
      </c>
      <c r="C1082">
        <v>12</v>
      </c>
      <c r="D1082">
        <v>20000</v>
      </c>
      <c r="E1082">
        <v>63.7</v>
      </c>
      <c r="F1082">
        <v>0</v>
      </c>
      <c r="G1082">
        <v>240000</v>
      </c>
    </row>
    <row r="1083" spans="1:7">
      <c r="A1083">
        <v>22</v>
      </c>
      <c r="B1083">
        <v>220</v>
      </c>
      <c r="C1083">
        <v>10</v>
      </c>
      <c r="D1083">
        <v>5500</v>
      </c>
      <c r="E1083">
        <v>63.7</v>
      </c>
      <c r="F1083">
        <v>1</v>
      </c>
      <c r="G1083">
        <v>55000</v>
      </c>
    </row>
    <row r="1084" spans="1:7">
      <c r="A1084">
        <v>32</v>
      </c>
      <c r="B1084">
        <v>432</v>
      </c>
      <c r="C1084">
        <v>13.5</v>
      </c>
      <c r="D1084">
        <v>12500</v>
      </c>
      <c r="E1084">
        <v>63.7</v>
      </c>
      <c r="F1084">
        <v>0</v>
      </c>
      <c r="G1084">
        <v>168750</v>
      </c>
    </row>
    <row r="1085" spans="1:7">
      <c r="A1085">
        <v>19</v>
      </c>
      <c r="B1085">
        <v>190</v>
      </c>
      <c r="C1085">
        <v>10</v>
      </c>
      <c r="D1085">
        <v>12500</v>
      </c>
      <c r="E1085">
        <v>63.7</v>
      </c>
      <c r="F1085">
        <v>0</v>
      </c>
      <c r="G1085">
        <v>125000</v>
      </c>
    </row>
    <row r="1086" spans="1:7">
      <c r="A1086">
        <v>31</v>
      </c>
      <c r="B1086">
        <v>372</v>
      </c>
      <c r="C1086">
        <v>12</v>
      </c>
      <c r="D1086">
        <v>30000</v>
      </c>
      <c r="E1086">
        <v>63.7</v>
      </c>
      <c r="F1086">
        <v>0</v>
      </c>
      <c r="G1086">
        <v>360000</v>
      </c>
    </row>
    <row r="1087" spans="1:7">
      <c r="A1087">
        <v>18</v>
      </c>
      <c r="B1087">
        <v>216</v>
      </c>
      <c r="C1087">
        <v>12</v>
      </c>
      <c r="D1087">
        <v>30000</v>
      </c>
      <c r="E1087">
        <v>63.7</v>
      </c>
      <c r="F1087">
        <v>1</v>
      </c>
      <c r="G1087">
        <v>360000</v>
      </c>
    </row>
    <row r="1088" spans="1:7">
      <c r="A1088">
        <v>58</v>
      </c>
      <c r="B1088">
        <v>145</v>
      </c>
      <c r="C1088">
        <v>2.5</v>
      </c>
      <c r="D1088">
        <v>6500</v>
      </c>
      <c r="E1088">
        <v>63.7</v>
      </c>
      <c r="F1088">
        <v>0</v>
      </c>
      <c r="G1088">
        <v>16250</v>
      </c>
    </row>
    <row r="1089" spans="1:7">
      <c r="A1089">
        <v>28</v>
      </c>
      <c r="B1089">
        <v>378</v>
      </c>
      <c r="C1089">
        <v>13.5</v>
      </c>
      <c r="D1089">
        <v>20000</v>
      </c>
      <c r="E1089">
        <v>63.7</v>
      </c>
      <c r="F1089">
        <v>0</v>
      </c>
      <c r="G1089">
        <v>270000</v>
      </c>
    </row>
    <row r="1090" spans="1:7">
      <c r="A1090">
        <v>68</v>
      </c>
      <c r="B1090">
        <v>544</v>
      </c>
      <c r="C1090">
        <v>8</v>
      </c>
      <c r="D1090">
        <v>5500</v>
      </c>
      <c r="E1090">
        <v>63.7</v>
      </c>
      <c r="F1090">
        <v>1</v>
      </c>
      <c r="G1090">
        <v>44000</v>
      </c>
    </row>
    <row r="1091" spans="1:7">
      <c r="A1091">
        <v>44</v>
      </c>
      <c r="B1091">
        <v>352</v>
      </c>
      <c r="C1091">
        <v>8</v>
      </c>
      <c r="D1091">
        <v>20000</v>
      </c>
      <c r="E1091">
        <v>63.7</v>
      </c>
      <c r="F1091">
        <v>1</v>
      </c>
      <c r="G1091">
        <v>160000</v>
      </c>
    </row>
    <row r="1092" spans="1:7">
      <c r="A1092">
        <v>19</v>
      </c>
      <c r="B1092">
        <v>190</v>
      </c>
      <c r="C1092">
        <v>10</v>
      </c>
      <c r="D1092">
        <v>3500</v>
      </c>
      <c r="E1092">
        <v>63.7</v>
      </c>
      <c r="F1092">
        <v>1</v>
      </c>
      <c r="G1092">
        <v>35000</v>
      </c>
    </row>
    <row r="1093" spans="1:7">
      <c r="A1093">
        <v>27</v>
      </c>
      <c r="B1093">
        <v>405</v>
      </c>
      <c r="C1093">
        <v>15</v>
      </c>
      <c r="D1093">
        <v>20000</v>
      </c>
      <c r="E1093">
        <v>63.7</v>
      </c>
      <c r="F1093">
        <v>1</v>
      </c>
      <c r="G1093">
        <v>300000</v>
      </c>
    </row>
    <row r="1094" spans="1:7">
      <c r="A1094">
        <v>19</v>
      </c>
      <c r="B1094">
        <v>228</v>
      </c>
      <c r="C1094">
        <v>12</v>
      </c>
      <c r="D1094">
        <v>20000</v>
      </c>
      <c r="E1094">
        <v>63.7</v>
      </c>
      <c r="F1094">
        <v>0</v>
      </c>
      <c r="G1094">
        <v>240000</v>
      </c>
    </row>
    <row r="1095" spans="1:7">
      <c r="A1095">
        <v>65</v>
      </c>
      <c r="B1095">
        <v>650</v>
      </c>
      <c r="C1095">
        <v>10</v>
      </c>
      <c r="D1095">
        <v>20000</v>
      </c>
      <c r="E1095">
        <v>63.7</v>
      </c>
      <c r="F1095">
        <v>0</v>
      </c>
      <c r="G1095">
        <v>200000</v>
      </c>
    </row>
    <row r="1096" spans="1:7">
      <c r="A1096">
        <v>75</v>
      </c>
      <c r="B1096">
        <v>187.5</v>
      </c>
      <c r="C1096">
        <v>2.5</v>
      </c>
      <c r="D1096">
        <v>12500</v>
      </c>
      <c r="E1096">
        <v>63.7</v>
      </c>
      <c r="F1096">
        <v>0</v>
      </c>
      <c r="G1096">
        <v>31250</v>
      </c>
    </row>
    <row r="1097" spans="1:7">
      <c r="A1097">
        <v>45</v>
      </c>
      <c r="B1097">
        <v>810</v>
      </c>
      <c r="C1097">
        <v>18</v>
      </c>
      <c r="D1097">
        <v>30000</v>
      </c>
      <c r="E1097">
        <v>63.7</v>
      </c>
      <c r="F1097">
        <v>0</v>
      </c>
      <c r="G1097">
        <v>540000</v>
      </c>
    </row>
    <row r="1098" spans="1:7">
      <c r="A1098">
        <v>21</v>
      </c>
      <c r="B1098">
        <v>252</v>
      </c>
      <c r="C1098">
        <v>12</v>
      </c>
      <c r="D1098">
        <v>20000</v>
      </c>
      <c r="E1098">
        <v>63.7</v>
      </c>
      <c r="F1098">
        <v>1</v>
      </c>
      <c r="G1098">
        <v>240000</v>
      </c>
    </row>
    <row r="1099" spans="1:7">
      <c r="A1099">
        <v>19</v>
      </c>
      <c r="B1099">
        <v>228</v>
      </c>
      <c r="C1099">
        <v>12</v>
      </c>
      <c r="D1099">
        <v>20000</v>
      </c>
      <c r="E1099">
        <v>63.7</v>
      </c>
      <c r="F1099">
        <v>1</v>
      </c>
      <c r="G1099">
        <v>240000</v>
      </c>
    </row>
    <row r="1100" spans="1:7">
      <c r="A1100">
        <v>31</v>
      </c>
      <c r="B1100">
        <v>372</v>
      </c>
      <c r="C1100">
        <v>12</v>
      </c>
      <c r="D1100">
        <v>12500</v>
      </c>
      <c r="E1100">
        <v>63.7</v>
      </c>
      <c r="F1100">
        <v>0</v>
      </c>
      <c r="G1100">
        <v>150000</v>
      </c>
    </row>
    <row r="1101" spans="1:7">
      <c r="A1101">
        <v>25</v>
      </c>
      <c r="B1101">
        <v>400</v>
      </c>
      <c r="C1101">
        <v>16</v>
      </c>
      <c r="D1101">
        <v>30000</v>
      </c>
      <c r="E1101">
        <v>63.7</v>
      </c>
      <c r="F1101">
        <v>0</v>
      </c>
      <c r="G1101">
        <v>480000</v>
      </c>
    </row>
    <row r="1102" spans="1:7">
      <c r="A1102">
        <v>45</v>
      </c>
      <c r="B1102">
        <v>540</v>
      </c>
      <c r="C1102">
        <v>12</v>
      </c>
      <c r="D1102">
        <v>30000</v>
      </c>
      <c r="E1102">
        <v>63.7</v>
      </c>
      <c r="F1102">
        <v>0</v>
      </c>
      <c r="G1102">
        <v>360000</v>
      </c>
    </row>
    <row r="1103" spans="1:7">
      <c r="A1103">
        <v>20</v>
      </c>
      <c r="B1103">
        <v>240</v>
      </c>
      <c r="C1103">
        <v>12</v>
      </c>
      <c r="D1103">
        <v>30000</v>
      </c>
      <c r="E1103">
        <v>63.7</v>
      </c>
      <c r="F1103">
        <v>1</v>
      </c>
      <c r="G1103">
        <v>360000</v>
      </c>
    </row>
    <row r="1104" spans="1:7">
      <c r="A1104">
        <v>40</v>
      </c>
      <c r="B1104">
        <v>640</v>
      </c>
      <c r="C1104">
        <v>16</v>
      </c>
      <c r="D1104">
        <v>30000</v>
      </c>
      <c r="E1104">
        <v>63.7</v>
      </c>
      <c r="F1104">
        <v>1</v>
      </c>
      <c r="G1104">
        <v>480000</v>
      </c>
    </row>
    <row r="1105" spans="1:7">
      <c r="A1105">
        <v>20</v>
      </c>
      <c r="B1105">
        <v>240</v>
      </c>
      <c r="C1105">
        <v>12</v>
      </c>
      <c r="D1105">
        <v>20000</v>
      </c>
      <c r="E1105">
        <v>63.7</v>
      </c>
      <c r="F1105">
        <v>0</v>
      </c>
      <c r="G1105">
        <v>240000</v>
      </c>
    </row>
    <row r="1106" spans="1:7">
      <c r="A1106">
        <v>25</v>
      </c>
      <c r="B1106">
        <v>250</v>
      </c>
      <c r="C1106">
        <v>10</v>
      </c>
      <c r="D1106">
        <v>20000</v>
      </c>
      <c r="E1106">
        <v>63.7</v>
      </c>
      <c r="F1106">
        <v>1</v>
      </c>
      <c r="G1106">
        <v>200000</v>
      </c>
    </row>
    <row r="1107" spans="1:7">
      <c r="A1107">
        <v>80</v>
      </c>
      <c r="B1107">
        <v>960</v>
      </c>
      <c r="C1107">
        <v>12</v>
      </c>
      <c r="D1107">
        <v>20000</v>
      </c>
      <c r="E1107">
        <v>63.7</v>
      </c>
      <c r="F1107">
        <v>0</v>
      </c>
      <c r="G1107">
        <v>240000</v>
      </c>
    </row>
    <row r="1108" spans="1:7">
      <c r="A1108">
        <v>32</v>
      </c>
      <c r="B1108">
        <v>576</v>
      </c>
      <c r="C1108">
        <v>18</v>
      </c>
      <c r="D1108">
        <v>30000</v>
      </c>
      <c r="E1108">
        <v>63.7</v>
      </c>
      <c r="F1108">
        <v>0</v>
      </c>
      <c r="G1108">
        <v>540000</v>
      </c>
    </row>
    <row r="1109" spans="1:7">
      <c r="A1109">
        <v>39</v>
      </c>
      <c r="B1109">
        <v>624</v>
      </c>
      <c r="C1109">
        <v>16</v>
      </c>
      <c r="D1109">
        <v>30000</v>
      </c>
      <c r="E1109">
        <v>57.2</v>
      </c>
      <c r="F1109">
        <v>0</v>
      </c>
      <c r="G1109">
        <v>480000</v>
      </c>
    </row>
    <row r="1110" spans="1:7">
      <c r="A1110">
        <v>19</v>
      </c>
      <c r="B1110">
        <v>228</v>
      </c>
      <c r="C1110">
        <v>12</v>
      </c>
      <c r="D1110">
        <v>30000</v>
      </c>
      <c r="E1110">
        <v>57.2</v>
      </c>
      <c r="F1110">
        <v>0</v>
      </c>
      <c r="G1110">
        <v>360000</v>
      </c>
    </row>
    <row r="1111" spans="1:7">
      <c r="A1111">
        <v>38</v>
      </c>
      <c r="B1111">
        <v>456</v>
      </c>
      <c r="C1111">
        <v>12</v>
      </c>
      <c r="D1111">
        <v>12500</v>
      </c>
      <c r="E1111">
        <v>57.2</v>
      </c>
      <c r="F1111">
        <v>1</v>
      </c>
      <c r="G1111">
        <v>150000</v>
      </c>
    </row>
    <row r="1112" spans="1:7">
      <c r="A1112">
        <v>57</v>
      </c>
      <c r="B1112">
        <v>684</v>
      </c>
      <c r="C1112">
        <v>12</v>
      </c>
      <c r="D1112">
        <v>30000</v>
      </c>
      <c r="E1112">
        <v>57.2</v>
      </c>
      <c r="F1112">
        <v>0</v>
      </c>
      <c r="G1112">
        <v>360000</v>
      </c>
    </row>
    <row r="1113" spans="1:7">
      <c r="A1113">
        <v>88</v>
      </c>
      <c r="B1113">
        <v>704</v>
      </c>
      <c r="C1113">
        <v>8</v>
      </c>
      <c r="D1113">
        <v>12500</v>
      </c>
      <c r="E1113">
        <v>57.2</v>
      </c>
      <c r="F1113">
        <v>0</v>
      </c>
      <c r="G1113">
        <v>100000</v>
      </c>
    </row>
    <row r="1114" spans="1:7">
      <c r="A1114">
        <v>57</v>
      </c>
      <c r="B1114">
        <v>1026</v>
      </c>
      <c r="C1114">
        <v>18</v>
      </c>
      <c r="D1114">
        <v>30000</v>
      </c>
      <c r="E1114">
        <v>57.2</v>
      </c>
      <c r="F1114">
        <v>0</v>
      </c>
      <c r="G1114">
        <v>540000</v>
      </c>
    </row>
    <row r="1115" spans="1:7">
      <c r="A1115">
        <v>19</v>
      </c>
      <c r="B1115">
        <v>228</v>
      </c>
      <c r="C1115">
        <v>12</v>
      </c>
      <c r="D1115">
        <v>8500</v>
      </c>
      <c r="E1115">
        <v>57.2</v>
      </c>
      <c r="F1115">
        <v>1</v>
      </c>
      <c r="G1115">
        <v>102000</v>
      </c>
    </row>
    <row r="1116" spans="1:7">
      <c r="A1116">
        <v>18</v>
      </c>
      <c r="B1116">
        <v>216</v>
      </c>
      <c r="C1116">
        <v>12</v>
      </c>
      <c r="D1116">
        <v>30000</v>
      </c>
      <c r="E1116">
        <v>57.2</v>
      </c>
      <c r="F1116">
        <v>0</v>
      </c>
      <c r="G1116">
        <v>360000</v>
      </c>
    </row>
    <row r="1117" spans="1:7">
      <c r="A1117">
        <v>43</v>
      </c>
      <c r="B1117">
        <v>516</v>
      </c>
      <c r="C1117">
        <v>12</v>
      </c>
      <c r="D1117">
        <v>30000</v>
      </c>
      <c r="E1117">
        <v>57.2</v>
      </c>
      <c r="F1117">
        <v>0</v>
      </c>
      <c r="G1117">
        <v>360000</v>
      </c>
    </row>
    <row r="1118" spans="1:7">
      <c r="A1118">
        <v>55</v>
      </c>
      <c r="B1118">
        <v>990</v>
      </c>
      <c r="C1118">
        <v>18</v>
      </c>
      <c r="D1118">
        <v>30000</v>
      </c>
      <c r="E1118">
        <v>48.5</v>
      </c>
      <c r="F1118">
        <v>0</v>
      </c>
      <c r="G1118">
        <v>540000</v>
      </c>
    </row>
    <row r="1119" spans="1:7">
      <c r="A1119">
        <v>28</v>
      </c>
      <c r="B1119">
        <v>168</v>
      </c>
      <c r="C1119">
        <v>6</v>
      </c>
      <c r="D1119">
        <v>5500</v>
      </c>
      <c r="E1119">
        <v>48.5</v>
      </c>
      <c r="F1119">
        <v>0</v>
      </c>
      <c r="G1119">
        <v>33000</v>
      </c>
    </row>
    <row r="1120" spans="1:7">
      <c r="A1120">
        <v>32</v>
      </c>
      <c r="B1120">
        <v>384</v>
      </c>
      <c r="C1120">
        <v>12</v>
      </c>
      <c r="D1120">
        <v>30000</v>
      </c>
      <c r="E1120">
        <v>48.5</v>
      </c>
      <c r="F1120">
        <v>1</v>
      </c>
      <c r="G1120">
        <v>360000</v>
      </c>
    </row>
    <row r="1121" spans="1:7">
      <c r="A1121">
        <v>31</v>
      </c>
      <c r="B1121">
        <v>310</v>
      </c>
      <c r="C1121">
        <v>10</v>
      </c>
      <c r="D1121">
        <v>12500</v>
      </c>
      <c r="E1121">
        <v>48.5</v>
      </c>
      <c r="F1121">
        <v>1</v>
      </c>
      <c r="G1121">
        <v>125000</v>
      </c>
    </row>
    <row r="1122" spans="1:7">
      <c r="A1122">
        <v>17</v>
      </c>
      <c r="B1122">
        <v>170</v>
      </c>
      <c r="C1122">
        <v>10</v>
      </c>
      <c r="D1122">
        <v>12500</v>
      </c>
      <c r="E1122">
        <v>48.5</v>
      </c>
      <c r="F1122">
        <v>1</v>
      </c>
      <c r="G1122">
        <v>125000</v>
      </c>
    </row>
    <row r="1123" spans="1:7">
      <c r="A1123">
        <v>57</v>
      </c>
      <c r="B1123">
        <v>456</v>
      </c>
      <c r="C1123">
        <v>8</v>
      </c>
      <c r="D1123">
        <v>6500</v>
      </c>
      <c r="E1123">
        <v>48.5</v>
      </c>
      <c r="F1123">
        <v>0</v>
      </c>
      <c r="G1123">
        <v>52000</v>
      </c>
    </row>
    <row r="1124" spans="1:7">
      <c r="A1124">
        <v>23</v>
      </c>
      <c r="B1124">
        <v>276</v>
      </c>
      <c r="C1124">
        <v>12</v>
      </c>
      <c r="D1124">
        <v>20000</v>
      </c>
      <c r="E1124">
        <v>48.5</v>
      </c>
      <c r="F1124">
        <v>0</v>
      </c>
      <c r="G1124">
        <v>240000</v>
      </c>
    </row>
    <row r="1125" spans="1:7">
      <c r="A1125">
        <v>54</v>
      </c>
      <c r="B1125">
        <v>864</v>
      </c>
      <c r="C1125">
        <v>16</v>
      </c>
      <c r="D1125">
        <v>30000</v>
      </c>
      <c r="E1125">
        <v>48.5</v>
      </c>
      <c r="F1125">
        <v>0</v>
      </c>
      <c r="G1125">
        <v>480000</v>
      </c>
    </row>
    <row r="1126" spans="1:7">
      <c r="A1126">
        <v>43</v>
      </c>
      <c r="B1126">
        <v>430</v>
      </c>
      <c r="C1126">
        <v>10</v>
      </c>
      <c r="D1126">
        <v>12500</v>
      </c>
      <c r="E1126">
        <v>48.5</v>
      </c>
      <c r="F1126">
        <v>0</v>
      </c>
      <c r="G1126">
        <v>125000</v>
      </c>
    </row>
    <row r="1127" spans="1:7">
      <c r="A1127">
        <v>17</v>
      </c>
      <c r="B1127">
        <v>170</v>
      </c>
      <c r="C1127">
        <v>10</v>
      </c>
      <c r="D1127">
        <v>30000</v>
      </c>
      <c r="E1127">
        <v>48.5</v>
      </c>
      <c r="F1127">
        <v>1</v>
      </c>
      <c r="G1127">
        <v>300000</v>
      </c>
    </row>
    <row r="1128" spans="1:7">
      <c r="A1128">
        <v>17</v>
      </c>
      <c r="B1128">
        <v>170</v>
      </c>
      <c r="C1128">
        <v>10</v>
      </c>
      <c r="D1128">
        <v>8500</v>
      </c>
      <c r="E1128">
        <v>48.5</v>
      </c>
      <c r="F1128">
        <v>0</v>
      </c>
      <c r="G1128">
        <v>85000</v>
      </c>
    </row>
    <row r="1129" spans="1:7">
      <c r="A1129">
        <v>29</v>
      </c>
      <c r="B1129">
        <v>290</v>
      </c>
      <c r="C1129">
        <v>10</v>
      </c>
      <c r="D1129">
        <v>20000</v>
      </c>
      <c r="E1129">
        <v>48.5</v>
      </c>
      <c r="F1129">
        <v>1</v>
      </c>
      <c r="G1129">
        <v>200000</v>
      </c>
    </row>
    <row r="1130" spans="1:7">
      <c r="A1130">
        <v>74</v>
      </c>
      <c r="B1130">
        <v>888</v>
      </c>
      <c r="C1130">
        <v>12</v>
      </c>
      <c r="D1130">
        <v>20000</v>
      </c>
      <c r="E1130">
        <v>48.5</v>
      </c>
      <c r="F1130">
        <v>0</v>
      </c>
      <c r="G1130">
        <v>240000</v>
      </c>
    </row>
    <row r="1131" spans="1:7">
      <c r="A1131">
        <v>18</v>
      </c>
      <c r="B1131">
        <v>216</v>
      </c>
      <c r="C1131">
        <v>12</v>
      </c>
      <c r="D1131">
        <v>20000</v>
      </c>
      <c r="E1131">
        <v>48.5</v>
      </c>
      <c r="F1131">
        <v>1</v>
      </c>
      <c r="G1131">
        <v>240000</v>
      </c>
    </row>
    <row r="1132" spans="1:7">
      <c r="A1132">
        <v>57</v>
      </c>
      <c r="B1132">
        <v>684</v>
      </c>
      <c r="C1132">
        <v>12</v>
      </c>
      <c r="D1132">
        <v>30000</v>
      </c>
      <c r="E1132">
        <v>48.5</v>
      </c>
      <c r="F1132">
        <v>0</v>
      </c>
      <c r="G1132">
        <v>360000</v>
      </c>
    </row>
    <row r="1133" spans="1:7">
      <c r="A1133">
        <v>58</v>
      </c>
      <c r="B1133">
        <v>696</v>
      </c>
      <c r="C1133">
        <v>12</v>
      </c>
      <c r="D1133">
        <v>30000</v>
      </c>
      <c r="E1133">
        <v>48.5</v>
      </c>
      <c r="F1133">
        <v>0</v>
      </c>
      <c r="G1133">
        <v>360000</v>
      </c>
    </row>
    <row r="1134" spans="1:7">
      <c r="A1134">
        <v>33</v>
      </c>
      <c r="B1134">
        <v>445.5</v>
      </c>
      <c r="C1134">
        <v>13.5</v>
      </c>
      <c r="D1134">
        <v>20000</v>
      </c>
      <c r="E1134">
        <v>48.5</v>
      </c>
      <c r="F1134">
        <v>0</v>
      </c>
      <c r="G1134">
        <v>270000</v>
      </c>
    </row>
    <row r="1135" spans="1:7">
      <c r="A1135">
        <v>20</v>
      </c>
      <c r="B1135">
        <v>200</v>
      </c>
      <c r="C1135">
        <v>10</v>
      </c>
      <c r="D1135">
        <v>4500</v>
      </c>
      <c r="E1135">
        <v>48.5</v>
      </c>
      <c r="F1135">
        <v>0</v>
      </c>
      <c r="G1135">
        <v>45000</v>
      </c>
    </row>
    <row r="1136" spans="1:7">
      <c r="A1136">
        <v>62</v>
      </c>
      <c r="B1136">
        <v>744</v>
      </c>
      <c r="C1136">
        <v>12</v>
      </c>
      <c r="D1136">
        <v>20000</v>
      </c>
      <c r="E1136">
        <v>48.5</v>
      </c>
      <c r="F1136">
        <v>0</v>
      </c>
      <c r="G1136">
        <v>240000</v>
      </c>
    </row>
    <row r="1137" spans="1:7">
      <c r="A1137">
        <v>60</v>
      </c>
      <c r="B1137">
        <v>720</v>
      </c>
      <c r="C1137">
        <v>12</v>
      </c>
      <c r="D1137">
        <v>20000</v>
      </c>
      <c r="E1137">
        <v>48.5</v>
      </c>
      <c r="F1137">
        <v>0</v>
      </c>
      <c r="G1137">
        <v>240000</v>
      </c>
    </row>
    <row r="1138" spans="1:7">
      <c r="A1138">
        <v>26</v>
      </c>
      <c r="B1138">
        <v>351</v>
      </c>
      <c r="C1138">
        <v>13.5</v>
      </c>
      <c r="D1138">
        <v>30000</v>
      </c>
      <c r="E1138">
        <v>48.5</v>
      </c>
      <c r="F1138">
        <v>0</v>
      </c>
      <c r="G1138">
        <v>405000</v>
      </c>
    </row>
    <row r="1139" spans="1:7">
      <c r="A1139">
        <v>26</v>
      </c>
      <c r="B1139">
        <v>351</v>
      </c>
      <c r="C1139">
        <v>13.5</v>
      </c>
      <c r="D1139">
        <v>30000</v>
      </c>
      <c r="E1139">
        <v>48.5</v>
      </c>
      <c r="F1139">
        <v>0</v>
      </c>
      <c r="G1139">
        <v>405000</v>
      </c>
    </row>
    <row r="1140" spans="1:7">
      <c r="A1140">
        <v>19</v>
      </c>
      <c r="B1140">
        <v>190</v>
      </c>
      <c r="C1140">
        <v>10</v>
      </c>
      <c r="D1140">
        <v>12500</v>
      </c>
      <c r="E1140">
        <v>48.5</v>
      </c>
      <c r="F1140">
        <v>0</v>
      </c>
      <c r="G1140">
        <v>125000</v>
      </c>
    </row>
    <row r="1141" spans="1:7">
      <c r="A1141">
        <v>21</v>
      </c>
      <c r="B1141">
        <v>252</v>
      </c>
      <c r="C1141">
        <v>12</v>
      </c>
      <c r="D1141">
        <v>8500</v>
      </c>
      <c r="E1141">
        <v>48.5</v>
      </c>
      <c r="F1141">
        <v>0</v>
      </c>
      <c r="G1141">
        <v>102000</v>
      </c>
    </row>
    <row r="1142" spans="1:7">
      <c r="A1142">
        <v>56</v>
      </c>
      <c r="B1142">
        <v>896</v>
      </c>
      <c r="C1142">
        <v>16</v>
      </c>
      <c r="D1142">
        <v>20000</v>
      </c>
      <c r="E1142">
        <v>48.5</v>
      </c>
      <c r="F1142">
        <v>1</v>
      </c>
      <c r="G1142">
        <v>320000</v>
      </c>
    </row>
    <row r="1143" spans="1:7">
      <c r="A1143">
        <v>46</v>
      </c>
      <c r="B1143">
        <v>736</v>
      </c>
      <c r="C1143">
        <v>16</v>
      </c>
      <c r="D1143">
        <v>30000</v>
      </c>
      <c r="E1143">
        <v>48.5</v>
      </c>
      <c r="F1143">
        <v>1</v>
      </c>
      <c r="G1143">
        <v>480000</v>
      </c>
    </row>
    <row r="1144" spans="1:7">
      <c r="A1144">
        <v>46</v>
      </c>
      <c r="B1144">
        <v>552</v>
      </c>
      <c r="C1144">
        <v>12</v>
      </c>
      <c r="D1144">
        <v>30000</v>
      </c>
      <c r="E1144">
        <v>48.5</v>
      </c>
      <c r="F1144">
        <v>1</v>
      </c>
      <c r="G1144">
        <v>360000</v>
      </c>
    </row>
    <row r="1145" spans="1:7">
      <c r="A1145">
        <v>59</v>
      </c>
      <c r="B1145">
        <v>708</v>
      </c>
      <c r="C1145">
        <v>12</v>
      </c>
      <c r="D1145">
        <v>30000</v>
      </c>
      <c r="E1145">
        <v>48.5</v>
      </c>
      <c r="F1145">
        <v>1</v>
      </c>
      <c r="G1145">
        <v>360000</v>
      </c>
    </row>
    <row r="1146" spans="1:7">
      <c r="A1146">
        <v>31</v>
      </c>
      <c r="B1146">
        <v>418.5</v>
      </c>
      <c r="C1146">
        <v>13.5</v>
      </c>
      <c r="D1146">
        <v>30000</v>
      </c>
      <c r="E1146">
        <v>63.8</v>
      </c>
      <c r="F1146">
        <v>1</v>
      </c>
      <c r="G1146">
        <v>405000</v>
      </c>
    </row>
    <row r="1147" spans="1:7">
      <c r="A1147">
        <v>52</v>
      </c>
      <c r="B1147">
        <v>416</v>
      </c>
      <c r="C1147">
        <v>8</v>
      </c>
      <c r="D1147">
        <v>30000</v>
      </c>
      <c r="E1147">
        <v>63.8</v>
      </c>
      <c r="F1147">
        <v>1</v>
      </c>
      <c r="G1147">
        <v>240000</v>
      </c>
    </row>
    <row r="1148" spans="1:7">
      <c r="A1148">
        <v>35</v>
      </c>
      <c r="B1148">
        <v>420</v>
      </c>
      <c r="C1148">
        <v>12</v>
      </c>
      <c r="D1148">
        <v>30000</v>
      </c>
      <c r="E1148">
        <v>63.8</v>
      </c>
      <c r="F1148">
        <v>0</v>
      </c>
      <c r="G1148">
        <v>360000</v>
      </c>
    </row>
    <row r="1149" spans="1:7">
      <c r="A1149">
        <v>46</v>
      </c>
      <c r="B1149">
        <v>552</v>
      </c>
      <c r="C1149">
        <v>12</v>
      </c>
      <c r="D1149">
        <v>20000</v>
      </c>
      <c r="E1149">
        <v>63.8</v>
      </c>
      <c r="F1149">
        <v>1</v>
      </c>
      <c r="G1149">
        <v>240000</v>
      </c>
    </row>
    <row r="1150" spans="1:7">
      <c r="A1150">
        <v>37</v>
      </c>
      <c r="B1150">
        <v>444</v>
      </c>
      <c r="C1150">
        <v>12</v>
      </c>
      <c r="D1150">
        <v>30000</v>
      </c>
      <c r="E1150">
        <v>63.8</v>
      </c>
      <c r="F1150">
        <v>1</v>
      </c>
      <c r="G1150">
        <v>360000</v>
      </c>
    </row>
    <row r="1151" spans="1:7">
      <c r="A1151">
        <v>17</v>
      </c>
      <c r="B1151">
        <v>204</v>
      </c>
      <c r="C1151">
        <v>12</v>
      </c>
      <c r="D1151">
        <v>30000</v>
      </c>
      <c r="E1151">
        <v>63.8</v>
      </c>
      <c r="F1151">
        <v>0</v>
      </c>
      <c r="G1151">
        <v>360000</v>
      </c>
    </row>
    <row r="1152" spans="1:7">
      <c r="A1152">
        <v>31</v>
      </c>
      <c r="B1152">
        <v>372</v>
      </c>
      <c r="C1152">
        <v>12</v>
      </c>
      <c r="D1152">
        <v>30000</v>
      </c>
      <c r="E1152">
        <v>63.8</v>
      </c>
      <c r="F1152">
        <v>1</v>
      </c>
      <c r="G1152">
        <v>360000</v>
      </c>
    </row>
    <row r="1153" spans="1:7">
      <c r="A1153">
        <v>33</v>
      </c>
      <c r="B1153">
        <v>396</v>
      </c>
      <c r="C1153">
        <v>12</v>
      </c>
      <c r="D1153">
        <v>30000</v>
      </c>
      <c r="E1153">
        <v>63.8</v>
      </c>
      <c r="F1153">
        <v>0</v>
      </c>
      <c r="G1153">
        <v>360000</v>
      </c>
    </row>
    <row r="1154" spans="1:7">
      <c r="A1154">
        <v>57</v>
      </c>
      <c r="B1154">
        <v>1026</v>
      </c>
      <c r="C1154">
        <v>18</v>
      </c>
      <c r="D1154">
        <v>20000</v>
      </c>
      <c r="E1154">
        <v>63.8</v>
      </c>
      <c r="F1154">
        <v>0</v>
      </c>
      <c r="G1154">
        <v>360000</v>
      </c>
    </row>
    <row r="1155" spans="1:7">
      <c r="A1155">
        <v>68</v>
      </c>
      <c r="B1155">
        <v>680</v>
      </c>
      <c r="C1155">
        <v>10</v>
      </c>
      <c r="D1155">
        <v>12500</v>
      </c>
      <c r="E1155">
        <v>63.8</v>
      </c>
      <c r="F1155">
        <v>0</v>
      </c>
      <c r="G1155">
        <v>125000</v>
      </c>
    </row>
    <row r="1156" spans="1:7">
      <c r="A1156">
        <v>28</v>
      </c>
      <c r="B1156">
        <v>504</v>
      </c>
      <c r="C1156">
        <v>18</v>
      </c>
      <c r="D1156">
        <v>20000</v>
      </c>
      <c r="E1156">
        <v>63.8</v>
      </c>
      <c r="F1156">
        <v>1</v>
      </c>
      <c r="G1156">
        <v>360000</v>
      </c>
    </row>
    <row r="1157" spans="1:7">
      <c r="A1157">
        <v>19</v>
      </c>
      <c r="B1157">
        <v>190</v>
      </c>
      <c r="C1157">
        <v>10</v>
      </c>
      <c r="D1157">
        <v>30000</v>
      </c>
      <c r="E1157">
        <v>63.8</v>
      </c>
      <c r="F1157">
        <v>0</v>
      </c>
      <c r="G1157">
        <v>300000</v>
      </c>
    </row>
    <row r="1158" spans="1:7">
      <c r="A1158">
        <v>52</v>
      </c>
      <c r="B1158">
        <v>936</v>
      </c>
      <c r="C1158">
        <v>18</v>
      </c>
      <c r="D1158">
        <v>20000</v>
      </c>
      <c r="E1158">
        <v>63.8</v>
      </c>
      <c r="F1158">
        <v>0</v>
      </c>
      <c r="G1158">
        <v>360000</v>
      </c>
    </row>
    <row r="1159" spans="1:7">
      <c r="A1159">
        <v>30</v>
      </c>
      <c r="B1159">
        <v>480</v>
      </c>
      <c r="C1159">
        <v>16</v>
      </c>
      <c r="D1159">
        <v>30000</v>
      </c>
      <c r="E1159">
        <v>63.8</v>
      </c>
      <c r="F1159">
        <v>0</v>
      </c>
      <c r="G1159">
        <v>480000</v>
      </c>
    </row>
    <row r="1160" spans="1:7">
      <c r="A1160">
        <v>41</v>
      </c>
      <c r="B1160">
        <v>553.5</v>
      </c>
      <c r="C1160">
        <v>13.5</v>
      </c>
      <c r="D1160">
        <v>30000</v>
      </c>
      <c r="E1160">
        <v>63.8</v>
      </c>
      <c r="F1160">
        <v>0</v>
      </c>
      <c r="G1160">
        <v>405000</v>
      </c>
    </row>
    <row r="1161" spans="1:7">
      <c r="A1161">
        <v>19</v>
      </c>
      <c r="B1161">
        <v>228</v>
      </c>
      <c r="C1161">
        <v>12</v>
      </c>
      <c r="D1161">
        <v>12500</v>
      </c>
      <c r="E1161">
        <v>63.8</v>
      </c>
      <c r="F1161">
        <v>0</v>
      </c>
      <c r="G1161">
        <v>150000</v>
      </c>
    </row>
    <row r="1162" spans="1:7">
      <c r="A1162">
        <v>43</v>
      </c>
      <c r="B1162">
        <v>645</v>
      </c>
      <c r="C1162">
        <v>15</v>
      </c>
      <c r="D1162">
        <v>30000</v>
      </c>
      <c r="E1162">
        <v>63.8</v>
      </c>
      <c r="F1162">
        <v>0</v>
      </c>
      <c r="G1162">
        <v>450000</v>
      </c>
    </row>
    <row r="1163" spans="1:7">
      <c r="A1163">
        <v>65</v>
      </c>
      <c r="B1163">
        <v>877.5</v>
      </c>
      <c r="C1163">
        <v>13.5</v>
      </c>
      <c r="D1163">
        <v>20000</v>
      </c>
      <c r="E1163">
        <v>63.8</v>
      </c>
      <c r="F1163">
        <v>1</v>
      </c>
      <c r="G1163">
        <v>270000</v>
      </c>
    </row>
    <row r="1164" spans="1:7">
      <c r="A1164">
        <v>28</v>
      </c>
      <c r="B1164">
        <v>336</v>
      </c>
      <c r="C1164">
        <v>12</v>
      </c>
      <c r="D1164">
        <v>6500</v>
      </c>
      <c r="E1164">
        <v>63.8</v>
      </c>
      <c r="F1164">
        <v>0</v>
      </c>
      <c r="G1164">
        <v>78000</v>
      </c>
    </row>
    <row r="1165" spans="1:7">
      <c r="A1165">
        <v>60</v>
      </c>
      <c r="B1165">
        <v>720</v>
      </c>
      <c r="C1165">
        <v>12</v>
      </c>
      <c r="D1165">
        <v>20000</v>
      </c>
      <c r="E1165">
        <v>63.8</v>
      </c>
      <c r="F1165">
        <v>0</v>
      </c>
      <c r="G1165">
        <v>240000</v>
      </c>
    </row>
    <row r="1166" spans="1:7">
      <c r="A1166">
        <v>56</v>
      </c>
      <c r="B1166">
        <v>672</v>
      </c>
      <c r="C1166">
        <v>12</v>
      </c>
      <c r="D1166">
        <v>30000</v>
      </c>
      <c r="E1166">
        <v>63.8</v>
      </c>
      <c r="F1166">
        <v>0</v>
      </c>
      <c r="G1166">
        <v>360000</v>
      </c>
    </row>
    <row r="1167" spans="1:7">
      <c r="A1167">
        <v>50</v>
      </c>
      <c r="B1167">
        <v>600</v>
      </c>
      <c r="C1167">
        <v>12</v>
      </c>
      <c r="D1167">
        <v>12500</v>
      </c>
      <c r="E1167">
        <v>63.8</v>
      </c>
      <c r="F1167">
        <v>1</v>
      </c>
      <c r="G1167">
        <v>150000</v>
      </c>
    </row>
    <row r="1168" spans="1:7">
      <c r="A1168">
        <v>58</v>
      </c>
      <c r="B1168">
        <v>696</v>
      </c>
      <c r="C1168">
        <v>12</v>
      </c>
      <c r="D1168">
        <v>20000</v>
      </c>
      <c r="E1168">
        <v>63.8</v>
      </c>
      <c r="F1168">
        <v>0</v>
      </c>
      <c r="G1168">
        <v>240000</v>
      </c>
    </row>
    <row r="1169" spans="1:7">
      <c r="A1169">
        <v>64</v>
      </c>
      <c r="B1169">
        <v>1152</v>
      </c>
      <c r="C1169">
        <v>18</v>
      </c>
      <c r="D1169">
        <v>30000</v>
      </c>
      <c r="E1169">
        <v>63.8</v>
      </c>
      <c r="F1169">
        <v>0</v>
      </c>
      <c r="G1169">
        <v>540000</v>
      </c>
    </row>
    <row r="1170" spans="1:7">
      <c r="A1170">
        <v>62</v>
      </c>
      <c r="B1170">
        <v>837</v>
      </c>
      <c r="C1170">
        <v>13.5</v>
      </c>
      <c r="D1170">
        <v>20000</v>
      </c>
      <c r="E1170">
        <v>63.8</v>
      </c>
      <c r="F1170">
        <v>0</v>
      </c>
      <c r="G1170">
        <v>270000</v>
      </c>
    </row>
    <row r="1171" spans="1:7">
      <c r="A1171">
        <v>23</v>
      </c>
      <c r="B1171">
        <v>276</v>
      </c>
      <c r="C1171">
        <v>12</v>
      </c>
      <c r="D1171">
        <v>20000</v>
      </c>
      <c r="E1171">
        <v>63.8</v>
      </c>
      <c r="F1171">
        <v>1</v>
      </c>
      <c r="G1171">
        <v>240000</v>
      </c>
    </row>
    <row r="1172" spans="1:7">
      <c r="A1172">
        <v>41</v>
      </c>
      <c r="B1172">
        <v>492</v>
      </c>
      <c r="C1172">
        <v>12</v>
      </c>
      <c r="D1172">
        <v>30000</v>
      </c>
      <c r="E1172">
        <v>63.8</v>
      </c>
      <c r="F1172">
        <v>1</v>
      </c>
      <c r="G1172">
        <v>360000</v>
      </c>
    </row>
    <row r="1173" spans="1:7">
      <c r="A1173">
        <v>63</v>
      </c>
      <c r="B1173">
        <v>756</v>
      </c>
      <c r="C1173">
        <v>12</v>
      </c>
      <c r="D1173">
        <v>30000</v>
      </c>
      <c r="E1173">
        <v>63.8</v>
      </c>
      <c r="F1173">
        <v>1</v>
      </c>
      <c r="G1173">
        <v>360000</v>
      </c>
    </row>
    <row r="1174" spans="1:7">
      <c r="A1174">
        <v>40</v>
      </c>
      <c r="B1174">
        <v>480</v>
      </c>
      <c r="C1174">
        <v>12</v>
      </c>
      <c r="D1174">
        <v>20000</v>
      </c>
      <c r="E1174">
        <v>63.8</v>
      </c>
      <c r="F1174">
        <v>0</v>
      </c>
      <c r="G1174">
        <v>240000</v>
      </c>
    </row>
    <row r="1175" spans="1:7">
      <c r="A1175">
        <v>61</v>
      </c>
      <c r="B1175">
        <v>610</v>
      </c>
      <c r="C1175">
        <v>10</v>
      </c>
      <c r="D1175">
        <v>30000</v>
      </c>
      <c r="E1175">
        <v>63.8</v>
      </c>
      <c r="F1175">
        <v>0</v>
      </c>
      <c r="G1175">
        <v>300000</v>
      </c>
    </row>
    <row r="1176" spans="1:7">
      <c r="A1176">
        <v>54</v>
      </c>
      <c r="B1176">
        <v>648</v>
      </c>
      <c r="C1176">
        <v>12</v>
      </c>
      <c r="D1176">
        <v>30000</v>
      </c>
      <c r="E1176">
        <v>63.8</v>
      </c>
      <c r="F1176">
        <v>0</v>
      </c>
      <c r="G1176">
        <v>360000</v>
      </c>
    </row>
    <row r="1177" spans="1:7">
      <c r="A1177">
        <v>33</v>
      </c>
      <c r="B1177">
        <v>594</v>
      </c>
      <c r="C1177">
        <v>18</v>
      </c>
      <c r="D1177">
        <v>30000</v>
      </c>
      <c r="E1177">
        <v>63.8</v>
      </c>
      <c r="F1177">
        <v>0</v>
      </c>
      <c r="G1177">
        <v>540000</v>
      </c>
    </row>
    <row r="1178" spans="1:7">
      <c r="A1178">
        <v>50</v>
      </c>
      <c r="B1178">
        <v>600</v>
      </c>
      <c r="C1178">
        <v>12</v>
      </c>
      <c r="D1178">
        <v>30000</v>
      </c>
      <c r="E1178">
        <v>64.3</v>
      </c>
      <c r="F1178">
        <v>1</v>
      </c>
      <c r="G1178">
        <v>360000</v>
      </c>
    </row>
    <row r="1179" spans="1:7">
      <c r="A1179">
        <v>68</v>
      </c>
      <c r="B1179">
        <v>408</v>
      </c>
      <c r="C1179">
        <v>6</v>
      </c>
      <c r="D1179">
        <v>5500</v>
      </c>
      <c r="E1179">
        <v>64.3</v>
      </c>
      <c r="F1179">
        <v>0</v>
      </c>
      <c r="G1179">
        <v>33000</v>
      </c>
    </row>
    <row r="1180" spans="1:7">
      <c r="A1180">
        <v>74</v>
      </c>
      <c r="B1180">
        <v>185</v>
      </c>
      <c r="C1180">
        <v>2.5</v>
      </c>
      <c r="D1180">
        <v>6500</v>
      </c>
      <c r="E1180">
        <v>64.3</v>
      </c>
      <c r="F1180">
        <v>0</v>
      </c>
      <c r="G1180">
        <v>16250</v>
      </c>
    </row>
    <row r="1181" spans="1:7">
      <c r="A1181">
        <v>23</v>
      </c>
      <c r="B1181">
        <v>276</v>
      </c>
      <c r="C1181">
        <v>12</v>
      </c>
      <c r="D1181">
        <v>20000</v>
      </c>
      <c r="E1181">
        <v>64.3</v>
      </c>
      <c r="F1181">
        <v>0</v>
      </c>
      <c r="G1181">
        <v>240000</v>
      </c>
    </row>
    <row r="1182" spans="1:7">
      <c r="A1182">
        <v>19</v>
      </c>
      <c r="B1182">
        <v>190</v>
      </c>
      <c r="C1182">
        <v>10</v>
      </c>
      <c r="D1182">
        <v>20000</v>
      </c>
      <c r="E1182">
        <v>61.2</v>
      </c>
      <c r="F1182">
        <v>1</v>
      </c>
      <c r="G1182">
        <v>200000</v>
      </c>
    </row>
    <row r="1183" spans="1:7">
      <c r="A1183">
        <v>42</v>
      </c>
      <c r="B1183">
        <v>336</v>
      </c>
      <c r="C1183">
        <v>8</v>
      </c>
      <c r="D1183">
        <v>20000</v>
      </c>
      <c r="E1183">
        <v>61.2</v>
      </c>
      <c r="F1183">
        <v>1</v>
      </c>
      <c r="G1183">
        <v>160000</v>
      </c>
    </row>
    <row r="1184" spans="1:7">
      <c r="A1184">
        <v>58</v>
      </c>
      <c r="B1184">
        <v>696</v>
      </c>
      <c r="C1184">
        <v>12</v>
      </c>
      <c r="D1184">
        <v>20000</v>
      </c>
      <c r="E1184">
        <v>61.2</v>
      </c>
      <c r="F1184">
        <v>1</v>
      </c>
      <c r="G1184">
        <v>240000</v>
      </c>
    </row>
    <row r="1185" spans="1:7">
      <c r="A1185">
        <v>25</v>
      </c>
      <c r="B1185">
        <v>337.5</v>
      </c>
      <c r="C1185">
        <v>13.5</v>
      </c>
      <c r="D1185">
        <v>20000</v>
      </c>
      <c r="E1185">
        <v>61.2</v>
      </c>
      <c r="F1185">
        <v>0</v>
      </c>
      <c r="G1185">
        <v>270000</v>
      </c>
    </row>
    <row r="1186" spans="1:7">
      <c r="A1186">
        <v>24</v>
      </c>
      <c r="B1186">
        <v>240</v>
      </c>
      <c r="C1186">
        <v>10</v>
      </c>
      <c r="D1186">
        <v>12500</v>
      </c>
      <c r="E1186">
        <v>61.2</v>
      </c>
      <c r="F1186">
        <v>0</v>
      </c>
      <c r="G1186">
        <v>125000</v>
      </c>
    </row>
    <row r="1187" spans="1:7">
      <c r="A1187">
        <v>27</v>
      </c>
      <c r="B1187">
        <v>270</v>
      </c>
      <c r="C1187">
        <v>10</v>
      </c>
      <c r="D1187">
        <v>4500</v>
      </c>
      <c r="E1187">
        <v>61.2</v>
      </c>
      <c r="F1187">
        <v>0</v>
      </c>
      <c r="G1187">
        <v>45000</v>
      </c>
    </row>
    <row r="1188" spans="1:7">
      <c r="A1188">
        <v>43</v>
      </c>
      <c r="B1188">
        <v>580.5</v>
      </c>
      <c r="C1188">
        <v>13.5</v>
      </c>
      <c r="D1188">
        <v>20000</v>
      </c>
      <c r="E1188">
        <v>61.2</v>
      </c>
      <c r="F1188">
        <v>1</v>
      </c>
      <c r="G1188">
        <v>270000</v>
      </c>
    </row>
    <row r="1189" spans="1:7">
      <c r="A1189">
        <v>38</v>
      </c>
      <c r="B1189">
        <v>380</v>
      </c>
      <c r="C1189">
        <v>10</v>
      </c>
      <c r="D1189">
        <v>20000</v>
      </c>
      <c r="E1189">
        <v>61.2</v>
      </c>
      <c r="F1189">
        <v>1</v>
      </c>
      <c r="G1189">
        <v>200000</v>
      </c>
    </row>
    <row r="1190" spans="1:7">
      <c r="A1190">
        <v>23</v>
      </c>
      <c r="B1190">
        <v>368</v>
      </c>
      <c r="C1190">
        <v>16</v>
      </c>
      <c r="D1190">
        <v>12500</v>
      </c>
      <c r="E1190">
        <v>61.2</v>
      </c>
      <c r="F1190">
        <v>0</v>
      </c>
      <c r="G1190">
        <v>200000</v>
      </c>
    </row>
    <row r="1191" spans="1:7">
      <c r="A1191">
        <v>29</v>
      </c>
      <c r="B1191">
        <v>290</v>
      </c>
      <c r="C1191">
        <v>10</v>
      </c>
      <c r="D1191">
        <v>6500</v>
      </c>
      <c r="E1191">
        <v>61.2</v>
      </c>
      <c r="F1191">
        <v>1</v>
      </c>
      <c r="G1191">
        <v>65000</v>
      </c>
    </row>
    <row r="1192" spans="1:7">
      <c r="A1192">
        <v>22</v>
      </c>
      <c r="B1192">
        <v>264</v>
      </c>
      <c r="C1192">
        <v>12</v>
      </c>
      <c r="D1192">
        <v>8500</v>
      </c>
      <c r="E1192">
        <v>61.2</v>
      </c>
      <c r="F1192">
        <v>1</v>
      </c>
      <c r="G1192">
        <v>102000</v>
      </c>
    </row>
    <row r="1193" spans="1:7">
      <c r="A1193">
        <v>54</v>
      </c>
      <c r="B1193">
        <v>864</v>
      </c>
      <c r="C1193">
        <v>16</v>
      </c>
      <c r="D1193">
        <v>30000</v>
      </c>
      <c r="E1193">
        <v>61.2</v>
      </c>
      <c r="F1193">
        <v>0</v>
      </c>
      <c r="G1193">
        <v>480000</v>
      </c>
    </row>
    <row r="1194" spans="1:7">
      <c r="A1194">
        <v>42</v>
      </c>
      <c r="B1194">
        <v>504</v>
      </c>
      <c r="C1194">
        <v>12</v>
      </c>
      <c r="D1194">
        <v>30000</v>
      </c>
      <c r="E1194">
        <v>61.2</v>
      </c>
      <c r="F1194">
        <v>0</v>
      </c>
      <c r="G1194">
        <v>360000</v>
      </c>
    </row>
    <row r="1195" spans="1:7">
      <c r="A1195">
        <v>21</v>
      </c>
      <c r="B1195">
        <v>252</v>
      </c>
      <c r="C1195">
        <v>12</v>
      </c>
      <c r="D1195">
        <v>30000</v>
      </c>
      <c r="E1195">
        <v>61.2</v>
      </c>
      <c r="F1195">
        <v>0</v>
      </c>
      <c r="G1195">
        <v>360000</v>
      </c>
    </row>
    <row r="1196" spans="1:7">
      <c r="A1196">
        <v>37</v>
      </c>
      <c r="B1196">
        <v>666</v>
      </c>
      <c r="C1196">
        <v>18</v>
      </c>
      <c r="D1196">
        <v>20000</v>
      </c>
      <c r="E1196">
        <v>61.2</v>
      </c>
      <c r="F1196">
        <v>0</v>
      </c>
      <c r="G1196">
        <v>360000</v>
      </c>
    </row>
    <row r="1197" spans="1:7">
      <c r="A1197">
        <v>34</v>
      </c>
      <c r="B1197">
        <v>408</v>
      </c>
      <c r="C1197">
        <v>12</v>
      </c>
      <c r="D1197">
        <v>5500</v>
      </c>
      <c r="E1197">
        <v>61.2</v>
      </c>
      <c r="F1197">
        <v>1</v>
      </c>
      <c r="G1197">
        <v>66000</v>
      </c>
    </row>
    <row r="1198" spans="1:7">
      <c r="A1198">
        <v>63</v>
      </c>
      <c r="B1198">
        <v>630</v>
      </c>
      <c r="C1198">
        <v>10</v>
      </c>
      <c r="D1198">
        <v>12500</v>
      </c>
      <c r="E1198">
        <v>61.2</v>
      </c>
      <c r="F1198">
        <v>0</v>
      </c>
      <c r="G1198">
        <v>125000</v>
      </c>
    </row>
    <row r="1199" spans="1:7">
      <c r="A1199">
        <v>27</v>
      </c>
      <c r="B1199">
        <v>364.5</v>
      </c>
      <c r="C1199">
        <v>13.5</v>
      </c>
      <c r="D1199">
        <v>20000</v>
      </c>
      <c r="E1199">
        <v>61.2</v>
      </c>
      <c r="F1199">
        <v>0</v>
      </c>
      <c r="G1199">
        <v>270000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520A-F8FB-4045-952A-E5B3C879D524}">
  <dimension ref="A1:L181"/>
  <sheetViews>
    <sheetView topLeftCell="A169" workbookViewId="0">
      <selection activeCell="L181" sqref="L181"/>
    </sheetView>
  </sheetViews>
  <sheetFormatPr defaultRowHeight="15"/>
  <sheetData>
    <row r="1" spans="1:12">
      <c r="A1" t="s">
        <v>946</v>
      </c>
    </row>
    <row r="3" spans="1:12">
      <c r="A3" t="s">
        <v>947</v>
      </c>
      <c r="B3" t="s">
        <v>948</v>
      </c>
      <c r="C3" t="s">
        <v>949</v>
      </c>
      <c r="D3" t="s">
        <v>950</v>
      </c>
      <c r="E3" t="s">
        <v>951</v>
      </c>
      <c r="F3" t="s">
        <v>952</v>
      </c>
      <c r="G3" t="s">
        <v>953</v>
      </c>
      <c r="H3" t="s">
        <v>954</v>
      </c>
      <c r="I3" t="s">
        <v>955</v>
      </c>
      <c r="J3" t="s">
        <v>956</v>
      </c>
      <c r="K3" t="s">
        <v>957</v>
      </c>
      <c r="L3" t="s">
        <v>958</v>
      </c>
    </row>
    <row r="4" spans="1:12">
      <c r="A4">
        <v>1</v>
      </c>
      <c r="B4">
        <v>39</v>
      </c>
      <c r="C4">
        <v>9</v>
      </c>
      <c r="D4">
        <v>0</v>
      </c>
      <c r="E4">
        <v>0</v>
      </c>
      <c r="F4">
        <v>23</v>
      </c>
      <c r="G4">
        <v>13</v>
      </c>
      <c r="H4">
        <v>0</v>
      </c>
      <c r="I4">
        <v>5</v>
      </c>
      <c r="J4">
        <v>118</v>
      </c>
      <c r="K4">
        <v>39</v>
      </c>
      <c r="L4">
        <v>1</v>
      </c>
    </row>
    <row r="5" spans="1:12">
      <c r="A5">
        <v>0</v>
      </c>
      <c r="B5">
        <v>39</v>
      </c>
      <c r="C5">
        <v>10</v>
      </c>
      <c r="D5">
        <v>0</v>
      </c>
      <c r="E5">
        <v>1</v>
      </c>
      <c r="F5">
        <v>16</v>
      </c>
      <c r="G5">
        <v>11</v>
      </c>
      <c r="H5">
        <v>1</v>
      </c>
      <c r="I5">
        <v>3</v>
      </c>
      <c r="J5">
        <v>175</v>
      </c>
      <c r="K5">
        <v>39</v>
      </c>
      <c r="L5">
        <v>3</v>
      </c>
    </row>
    <row r="6" spans="1:12">
      <c r="A6">
        <v>0</v>
      </c>
      <c r="B6">
        <v>39</v>
      </c>
      <c r="C6">
        <v>11</v>
      </c>
      <c r="D6">
        <v>0</v>
      </c>
      <c r="E6">
        <v>1</v>
      </c>
      <c r="F6">
        <v>20</v>
      </c>
      <c r="G6">
        <v>12</v>
      </c>
      <c r="H6">
        <v>1</v>
      </c>
      <c r="I6">
        <v>3</v>
      </c>
      <c r="J6">
        <v>135</v>
      </c>
      <c r="K6">
        <v>39</v>
      </c>
      <c r="L6">
        <v>2</v>
      </c>
    </row>
    <row r="7" spans="1:12">
      <c r="A7">
        <v>0</v>
      </c>
      <c r="B7">
        <v>39</v>
      </c>
      <c r="C7">
        <v>12</v>
      </c>
      <c r="D7">
        <v>1</v>
      </c>
      <c r="E7">
        <v>0</v>
      </c>
      <c r="F7">
        <v>21</v>
      </c>
      <c r="G7">
        <v>11</v>
      </c>
      <c r="H7">
        <v>0</v>
      </c>
      <c r="I7">
        <v>3</v>
      </c>
      <c r="J7">
        <v>125</v>
      </c>
      <c r="K7">
        <v>40</v>
      </c>
      <c r="L7">
        <v>1</v>
      </c>
    </row>
    <row r="8" spans="1:12">
      <c r="A8">
        <v>0</v>
      </c>
      <c r="B8">
        <v>38</v>
      </c>
      <c r="C8">
        <v>12</v>
      </c>
      <c r="D8">
        <v>1</v>
      </c>
      <c r="E8">
        <v>1</v>
      </c>
      <c r="F8">
        <v>20</v>
      </c>
      <c r="G8">
        <v>15</v>
      </c>
      <c r="H8">
        <v>0</v>
      </c>
      <c r="I8">
        <v>2</v>
      </c>
      <c r="J8">
        <v>183</v>
      </c>
      <c r="K8">
        <v>38</v>
      </c>
      <c r="L8">
        <v>1</v>
      </c>
    </row>
    <row r="9" spans="1:12">
      <c r="A9">
        <v>0</v>
      </c>
      <c r="B9">
        <v>38</v>
      </c>
      <c r="C9">
        <v>9</v>
      </c>
      <c r="D9">
        <v>0</v>
      </c>
      <c r="E9">
        <v>1</v>
      </c>
      <c r="F9">
        <v>19</v>
      </c>
      <c r="G9">
        <v>11</v>
      </c>
      <c r="H9">
        <v>0</v>
      </c>
      <c r="I9">
        <v>5</v>
      </c>
      <c r="J9">
        <v>218</v>
      </c>
      <c r="K9">
        <v>38</v>
      </c>
      <c r="L9">
        <v>1</v>
      </c>
    </row>
    <row r="10" spans="1:12">
      <c r="A10">
        <v>0</v>
      </c>
      <c r="B10">
        <v>38</v>
      </c>
      <c r="C10">
        <v>13</v>
      </c>
      <c r="D10">
        <v>1</v>
      </c>
      <c r="E10">
        <v>0</v>
      </c>
      <c r="F10">
        <v>23</v>
      </c>
      <c r="G10">
        <v>13</v>
      </c>
      <c r="H10">
        <v>0</v>
      </c>
      <c r="I10">
        <v>2</v>
      </c>
      <c r="J10">
        <v>192</v>
      </c>
      <c r="K10">
        <v>37</v>
      </c>
      <c r="L10">
        <v>1</v>
      </c>
    </row>
    <row r="11" spans="1:12">
      <c r="A11">
        <v>1</v>
      </c>
      <c r="B11">
        <v>38</v>
      </c>
      <c r="C11">
        <v>9</v>
      </c>
      <c r="D11">
        <v>0</v>
      </c>
      <c r="E11">
        <v>0</v>
      </c>
      <c r="F11">
        <v>22</v>
      </c>
      <c r="G11">
        <v>15</v>
      </c>
      <c r="H11">
        <v>2</v>
      </c>
      <c r="I11">
        <v>2</v>
      </c>
      <c r="J11">
        <v>125</v>
      </c>
      <c r="K11">
        <v>38</v>
      </c>
      <c r="L11">
        <v>1</v>
      </c>
    </row>
    <row r="12" spans="1:12">
      <c r="A12">
        <v>0</v>
      </c>
      <c r="B12">
        <v>38</v>
      </c>
      <c r="C12">
        <v>10</v>
      </c>
      <c r="D12">
        <v>0</v>
      </c>
      <c r="E12">
        <v>1</v>
      </c>
      <c r="F12">
        <v>20</v>
      </c>
      <c r="G12">
        <v>14</v>
      </c>
      <c r="H12">
        <v>0</v>
      </c>
      <c r="I12">
        <v>2</v>
      </c>
      <c r="J12">
        <v>123</v>
      </c>
      <c r="K12">
        <v>38</v>
      </c>
      <c r="L12">
        <v>1</v>
      </c>
    </row>
    <row r="13" spans="1:12">
      <c r="A13">
        <v>0</v>
      </c>
      <c r="B13">
        <v>38</v>
      </c>
      <c r="C13">
        <v>15</v>
      </c>
      <c r="D13">
        <v>1</v>
      </c>
      <c r="E13">
        <v>0</v>
      </c>
      <c r="F13">
        <v>19</v>
      </c>
      <c r="G13">
        <v>13</v>
      </c>
      <c r="H13">
        <v>3</v>
      </c>
      <c r="I13">
        <v>2</v>
      </c>
      <c r="J13">
        <v>140</v>
      </c>
      <c r="K13">
        <v>37</v>
      </c>
      <c r="L13">
        <v>1</v>
      </c>
    </row>
    <row r="14" spans="1:12">
      <c r="A14">
        <v>0</v>
      </c>
      <c r="B14">
        <v>38</v>
      </c>
      <c r="C14">
        <v>12</v>
      </c>
      <c r="D14">
        <v>1</v>
      </c>
      <c r="E14">
        <v>0</v>
      </c>
      <c r="F14">
        <v>18</v>
      </c>
      <c r="G14">
        <v>13</v>
      </c>
      <c r="H14">
        <v>0</v>
      </c>
      <c r="I14">
        <v>2</v>
      </c>
      <c r="J14">
        <v>160</v>
      </c>
      <c r="K14">
        <v>38</v>
      </c>
      <c r="L14">
        <v>1</v>
      </c>
    </row>
    <row r="15" spans="1:12">
      <c r="A15">
        <v>1</v>
      </c>
      <c r="B15">
        <v>38</v>
      </c>
      <c r="C15">
        <v>15</v>
      </c>
      <c r="D15">
        <v>1</v>
      </c>
      <c r="E15">
        <v>0</v>
      </c>
      <c r="F15">
        <v>24</v>
      </c>
      <c r="G15">
        <v>14</v>
      </c>
      <c r="H15">
        <v>2</v>
      </c>
      <c r="I15">
        <v>3</v>
      </c>
      <c r="J15">
        <v>150</v>
      </c>
      <c r="K15">
        <v>38</v>
      </c>
      <c r="L15">
        <v>5</v>
      </c>
    </row>
    <row r="16" spans="1:12">
      <c r="A16">
        <v>0</v>
      </c>
      <c r="B16">
        <v>38</v>
      </c>
      <c r="C16">
        <v>15</v>
      </c>
      <c r="D16">
        <v>2</v>
      </c>
      <c r="E16">
        <v>0</v>
      </c>
      <c r="F16">
        <v>26</v>
      </c>
      <c r="G16">
        <v>13</v>
      </c>
      <c r="H16">
        <v>1</v>
      </c>
      <c r="I16">
        <v>1</v>
      </c>
      <c r="J16">
        <v>130</v>
      </c>
      <c r="K16">
        <v>38</v>
      </c>
      <c r="L16">
        <v>2</v>
      </c>
    </row>
    <row r="17" spans="1:12">
      <c r="A17">
        <v>0</v>
      </c>
      <c r="B17">
        <v>38</v>
      </c>
      <c r="C17">
        <v>12</v>
      </c>
      <c r="D17">
        <v>1</v>
      </c>
      <c r="E17">
        <v>1</v>
      </c>
      <c r="F17">
        <v>23</v>
      </c>
      <c r="G17">
        <v>14</v>
      </c>
      <c r="H17">
        <v>0</v>
      </c>
      <c r="I17">
        <v>4</v>
      </c>
      <c r="J17">
        <v>140</v>
      </c>
      <c r="K17">
        <v>38</v>
      </c>
      <c r="L17">
        <v>1</v>
      </c>
    </row>
    <row r="18" spans="1:12">
      <c r="A18">
        <v>0</v>
      </c>
      <c r="B18">
        <v>38</v>
      </c>
      <c r="C18">
        <v>12</v>
      </c>
      <c r="D18">
        <v>1</v>
      </c>
      <c r="E18">
        <v>0</v>
      </c>
      <c r="F18">
        <v>25</v>
      </c>
      <c r="G18">
        <v>16</v>
      </c>
      <c r="H18">
        <v>0</v>
      </c>
      <c r="I18">
        <v>2</v>
      </c>
      <c r="J18">
        <v>130</v>
      </c>
      <c r="K18">
        <v>38</v>
      </c>
      <c r="L18">
        <v>1</v>
      </c>
    </row>
    <row r="19" spans="1:12">
      <c r="A19">
        <v>1</v>
      </c>
      <c r="B19">
        <v>38</v>
      </c>
      <c r="C19">
        <v>12</v>
      </c>
      <c r="D19">
        <v>1</v>
      </c>
      <c r="E19">
        <v>0</v>
      </c>
      <c r="F19">
        <v>21</v>
      </c>
      <c r="G19">
        <v>17</v>
      </c>
      <c r="H19">
        <v>0</v>
      </c>
      <c r="I19">
        <v>2</v>
      </c>
      <c r="J19">
        <v>150</v>
      </c>
      <c r="K19">
        <v>38</v>
      </c>
      <c r="L19">
        <v>2</v>
      </c>
    </row>
    <row r="20" spans="1:12">
      <c r="A20">
        <v>0</v>
      </c>
      <c r="B20">
        <v>38</v>
      </c>
      <c r="C20">
        <v>12</v>
      </c>
      <c r="D20">
        <v>1</v>
      </c>
      <c r="E20">
        <v>1</v>
      </c>
      <c r="F20">
        <v>20</v>
      </c>
      <c r="G20">
        <v>12</v>
      </c>
      <c r="H20">
        <v>1</v>
      </c>
      <c r="I20">
        <v>2</v>
      </c>
      <c r="J20">
        <v>148</v>
      </c>
      <c r="K20">
        <v>38</v>
      </c>
      <c r="L20">
        <v>1</v>
      </c>
    </row>
    <row r="21" spans="1:12">
      <c r="A21">
        <v>0</v>
      </c>
      <c r="B21">
        <v>38</v>
      </c>
      <c r="C21">
        <v>13</v>
      </c>
      <c r="D21">
        <v>1</v>
      </c>
      <c r="E21">
        <v>0</v>
      </c>
      <c r="F21">
        <v>16</v>
      </c>
      <c r="G21">
        <v>14</v>
      </c>
      <c r="H21">
        <v>0</v>
      </c>
      <c r="I21">
        <v>6</v>
      </c>
      <c r="J21">
        <v>138</v>
      </c>
      <c r="K21">
        <v>38</v>
      </c>
      <c r="L21">
        <v>4</v>
      </c>
    </row>
    <row r="22" spans="1:12">
      <c r="A22">
        <v>1</v>
      </c>
      <c r="B22">
        <v>38</v>
      </c>
      <c r="C22">
        <v>13</v>
      </c>
      <c r="D22">
        <v>1</v>
      </c>
      <c r="E22">
        <v>0</v>
      </c>
      <c r="F22">
        <v>24</v>
      </c>
      <c r="G22">
        <v>12</v>
      </c>
      <c r="H22">
        <v>1</v>
      </c>
      <c r="I22">
        <v>3</v>
      </c>
      <c r="J22">
        <v>116</v>
      </c>
      <c r="K22">
        <v>39</v>
      </c>
      <c r="L22">
        <v>1</v>
      </c>
    </row>
    <row r="23" spans="1:12">
      <c r="A23">
        <v>0</v>
      </c>
      <c r="B23">
        <v>38</v>
      </c>
      <c r="C23">
        <v>12</v>
      </c>
      <c r="D23">
        <v>1</v>
      </c>
      <c r="E23">
        <v>1</v>
      </c>
      <c r="F23">
        <v>19</v>
      </c>
      <c r="G23">
        <v>12</v>
      </c>
      <c r="H23">
        <v>0</v>
      </c>
      <c r="I23">
        <v>2</v>
      </c>
      <c r="J23">
        <v>145</v>
      </c>
      <c r="K23">
        <v>35</v>
      </c>
      <c r="L23">
        <v>2</v>
      </c>
    </row>
    <row r="24" spans="1:12">
      <c r="A24">
        <v>0</v>
      </c>
      <c r="B24">
        <v>38</v>
      </c>
      <c r="C24">
        <v>14</v>
      </c>
      <c r="D24">
        <v>2</v>
      </c>
      <c r="E24">
        <v>1</v>
      </c>
      <c r="F24">
        <v>21</v>
      </c>
      <c r="G24">
        <v>10</v>
      </c>
      <c r="H24">
        <v>4</v>
      </c>
      <c r="I24">
        <v>3</v>
      </c>
      <c r="J24">
        <v>195</v>
      </c>
      <c r="K24">
        <v>35</v>
      </c>
      <c r="L24">
        <v>1</v>
      </c>
    </row>
    <row r="25" spans="1:12">
      <c r="A25">
        <v>0</v>
      </c>
      <c r="B25">
        <v>38</v>
      </c>
      <c r="C25">
        <v>14</v>
      </c>
      <c r="D25">
        <v>4</v>
      </c>
      <c r="E25">
        <v>0</v>
      </c>
      <c r="F25">
        <v>25</v>
      </c>
      <c r="G25">
        <v>8</v>
      </c>
      <c r="H25">
        <v>0</v>
      </c>
      <c r="I25">
        <v>1</v>
      </c>
      <c r="J25">
        <v>180</v>
      </c>
      <c r="K25">
        <v>38</v>
      </c>
      <c r="L25">
        <v>2</v>
      </c>
    </row>
    <row r="26" spans="1:12">
      <c r="A26">
        <v>0</v>
      </c>
      <c r="B26">
        <v>37</v>
      </c>
      <c r="C26">
        <v>15</v>
      </c>
      <c r="D26">
        <v>2</v>
      </c>
      <c r="E26">
        <v>0</v>
      </c>
      <c r="F26">
        <v>20</v>
      </c>
      <c r="G26">
        <v>11</v>
      </c>
      <c r="H26">
        <v>2</v>
      </c>
      <c r="I26">
        <v>2</v>
      </c>
      <c r="J26">
        <v>135</v>
      </c>
      <c r="K26">
        <v>37</v>
      </c>
      <c r="L26">
        <v>2</v>
      </c>
    </row>
    <row r="27" spans="1:12">
      <c r="A27">
        <v>0</v>
      </c>
      <c r="B27">
        <v>37</v>
      </c>
      <c r="C27">
        <v>9</v>
      </c>
      <c r="D27">
        <v>0</v>
      </c>
      <c r="E27">
        <v>0</v>
      </c>
      <c r="F27">
        <v>18</v>
      </c>
      <c r="G27">
        <v>10</v>
      </c>
      <c r="H27">
        <v>2</v>
      </c>
      <c r="I27">
        <v>3</v>
      </c>
      <c r="J27">
        <v>155</v>
      </c>
      <c r="K27">
        <v>37</v>
      </c>
      <c r="L27">
        <v>1</v>
      </c>
    </row>
    <row r="28" spans="1:12">
      <c r="A28">
        <v>0</v>
      </c>
      <c r="B28">
        <v>37</v>
      </c>
      <c r="C28">
        <v>12</v>
      </c>
      <c r="D28">
        <v>1</v>
      </c>
      <c r="E28">
        <v>1</v>
      </c>
      <c r="F28">
        <v>22</v>
      </c>
      <c r="G28">
        <v>13</v>
      </c>
      <c r="H28">
        <v>2</v>
      </c>
      <c r="I28">
        <v>2</v>
      </c>
      <c r="J28">
        <v>120</v>
      </c>
      <c r="K28">
        <v>38</v>
      </c>
      <c r="L28">
        <v>1</v>
      </c>
    </row>
    <row r="29" spans="1:12">
      <c r="A29">
        <v>0</v>
      </c>
      <c r="B29">
        <v>36</v>
      </c>
      <c r="C29">
        <v>10</v>
      </c>
      <c r="D29">
        <v>0</v>
      </c>
      <c r="E29">
        <v>0</v>
      </c>
      <c r="F29">
        <v>20</v>
      </c>
      <c r="G29">
        <v>12</v>
      </c>
      <c r="H29">
        <v>1</v>
      </c>
      <c r="I29">
        <v>2</v>
      </c>
      <c r="J29">
        <v>191</v>
      </c>
      <c r="K29">
        <v>36</v>
      </c>
      <c r="L29">
        <v>1</v>
      </c>
    </row>
    <row r="30" spans="1:12">
      <c r="A30">
        <v>0</v>
      </c>
      <c r="B30">
        <v>36</v>
      </c>
      <c r="C30">
        <v>10</v>
      </c>
      <c r="D30">
        <v>0</v>
      </c>
      <c r="E30">
        <v>1</v>
      </c>
      <c r="F30">
        <v>17</v>
      </c>
      <c r="G30">
        <v>10</v>
      </c>
      <c r="H30">
        <v>1</v>
      </c>
      <c r="I30">
        <v>3</v>
      </c>
      <c r="J30">
        <v>185</v>
      </c>
      <c r="K30">
        <v>37</v>
      </c>
      <c r="L30">
        <v>1</v>
      </c>
    </row>
    <row r="31" spans="1:12">
      <c r="A31">
        <v>0</v>
      </c>
      <c r="B31">
        <v>36</v>
      </c>
      <c r="C31">
        <v>12</v>
      </c>
      <c r="D31">
        <v>1</v>
      </c>
      <c r="E31">
        <v>1</v>
      </c>
      <c r="F31">
        <v>23</v>
      </c>
      <c r="G31">
        <v>12</v>
      </c>
      <c r="H31">
        <v>0</v>
      </c>
      <c r="I31">
        <v>2</v>
      </c>
      <c r="J31">
        <v>119</v>
      </c>
      <c r="K31">
        <v>37</v>
      </c>
      <c r="L31">
        <v>1</v>
      </c>
    </row>
    <row r="32" spans="1:12">
      <c r="A32">
        <v>1</v>
      </c>
      <c r="B32">
        <v>35</v>
      </c>
      <c r="C32">
        <v>12</v>
      </c>
      <c r="D32">
        <v>1</v>
      </c>
      <c r="E32">
        <v>0</v>
      </c>
      <c r="F32">
        <v>23</v>
      </c>
      <c r="G32">
        <v>14</v>
      </c>
      <c r="H32">
        <v>0</v>
      </c>
      <c r="I32">
        <v>3</v>
      </c>
      <c r="J32">
        <v>129</v>
      </c>
      <c r="K32">
        <v>36</v>
      </c>
      <c r="L32">
        <v>1</v>
      </c>
    </row>
    <row r="33" spans="1:12">
      <c r="A33">
        <v>0</v>
      </c>
      <c r="B33">
        <v>35</v>
      </c>
      <c r="C33">
        <v>14</v>
      </c>
      <c r="D33">
        <v>1</v>
      </c>
      <c r="E33">
        <v>1</v>
      </c>
      <c r="F33">
        <v>21</v>
      </c>
      <c r="G33">
        <v>11</v>
      </c>
      <c r="H33">
        <v>0</v>
      </c>
      <c r="I33">
        <v>3</v>
      </c>
      <c r="J33">
        <v>170</v>
      </c>
      <c r="K33">
        <v>34</v>
      </c>
      <c r="L33">
        <v>2</v>
      </c>
    </row>
    <row r="34" spans="1:12">
      <c r="A34">
        <v>0</v>
      </c>
      <c r="B34">
        <v>36</v>
      </c>
      <c r="C34">
        <v>12</v>
      </c>
      <c r="D34">
        <v>1</v>
      </c>
      <c r="E34">
        <v>0</v>
      </c>
      <c r="F34">
        <v>22</v>
      </c>
      <c r="G34">
        <v>14</v>
      </c>
      <c r="H34">
        <v>0</v>
      </c>
      <c r="I34">
        <v>4</v>
      </c>
      <c r="J34">
        <v>110</v>
      </c>
      <c r="K34">
        <v>36</v>
      </c>
      <c r="L34">
        <v>1</v>
      </c>
    </row>
    <row r="35" spans="1:12">
      <c r="A35">
        <v>0</v>
      </c>
      <c r="B35">
        <v>35</v>
      </c>
      <c r="C35">
        <v>14</v>
      </c>
      <c r="D35">
        <v>2</v>
      </c>
      <c r="E35">
        <v>1</v>
      </c>
      <c r="F35">
        <v>24</v>
      </c>
      <c r="G35">
        <v>11</v>
      </c>
      <c r="H35">
        <v>0</v>
      </c>
      <c r="I35">
        <v>2</v>
      </c>
      <c r="J35">
        <v>155</v>
      </c>
      <c r="K35">
        <v>35</v>
      </c>
      <c r="L35">
        <v>1</v>
      </c>
    </row>
    <row r="36" spans="1:12">
      <c r="A36">
        <v>1</v>
      </c>
      <c r="B36">
        <v>35</v>
      </c>
      <c r="C36">
        <v>12</v>
      </c>
      <c r="D36">
        <v>1</v>
      </c>
      <c r="E36">
        <v>1</v>
      </c>
      <c r="F36">
        <v>21</v>
      </c>
      <c r="G36">
        <v>12</v>
      </c>
      <c r="H36">
        <v>0</v>
      </c>
      <c r="I36">
        <v>2</v>
      </c>
      <c r="J36">
        <v>105</v>
      </c>
      <c r="K36">
        <v>29</v>
      </c>
      <c r="L36">
        <v>1</v>
      </c>
    </row>
    <row r="37" spans="1:12">
      <c r="A37">
        <v>0</v>
      </c>
      <c r="B37">
        <v>36</v>
      </c>
      <c r="C37">
        <v>17</v>
      </c>
      <c r="D37">
        <v>3</v>
      </c>
      <c r="E37">
        <v>0</v>
      </c>
      <c r="F37">
        <v>26</v>
      </c>
      <c r="G37">
        <v>13</v>
      </c>
      <c r="H37">
        <v>1</v>
      </c>
      <c r="I37">
        <v>2</v>
      </c>
      <c r="J37">
        <v>115</v>
      </c>
      <c r="K37">
        <v>36</v>
      </c>
      <c r="L37">
        <v>1</v>
      </c>
    </row>
    <row r="38" spans="1:12">
      <c r="A38">
        <v>0</v>
      </c>
      <c r="B38">
        <v>36</v>
      </c>
      <c r="C38">
        <v>12</v>
      </c>
      <c r="D38">
        <v>1</v>
      </c>
      <c r="E38">
        <v>1</v>
      </c>
      <c r="F38">
        <v>22</v>
      </c>
      <c r="G38">
        <v>12</v>
      </c>
      <c r="H38">
        <v>2</v>
      </c>
      <c r="I38">
        <v>3</v>
      </c>
      <c r="J38">
        <v>120</v>
      </c>
      <c r="K38">
        <v>36</v>
      </c>
      <c r="L38">
        <v>1</v>
      </c>
    </row>
    <row r="39" spans="1:12">
      <c r="A39">
        <v>0</v>
      </c>
      <c r="B39">
        <v>36</v>
      </c>
      <c r="C39">
        <v>12</v>
      </c>
      <c r="D39">
        <v>1</v>
      </c>
      <c r="E39">
        <v>0</v>
      </c>
      <c r="F39">
        <v>33</v>
      </c>
      <c r="G39">
        <v>16</v>
      </c>
      <c r="H39">
        <v>0</v>
      </c>
      <c r="I39">
        <v>1</v>
      </c>
      <c r="J39">
        <v>150</v>
      </c>
      <c r="K39">
        <v>36</v>
      </c>
      <c r="L39">
        <v>1</v>
      </c>
    </row>
    <row r="40" spans="1:12">
      <c r="A40">
        <v>0</v>
      </c>
      <c r="B40">
        <v>35</v>
      </c>
      <c r="C40">
        <v>10</v>
      </c>
      <c r="D40">
        <v>0</v>
      </c>
      <c r="E40">
        <v>1</v>
      </c>
      <c r="F40">
        <v>18</v>
      </c>
      <c r="G40">
        <v>13</v>
      </c>
      <c r="H40">
        <v>2</v>
      </c>
      <c r="I40">
        <v>2</v>
      </c>
      <c r="J40">
        <v>110</v>
      </c>
      <c r="K40">
        <v>35</v>
      </c>
      <c r="L40">
        <v>2</v>
      </c>
    </row>
    <row r="41" spans="1:12">
      <c r="A41">
        <v>0</v>
      </c>
      <c r="B41">
        <v>35</v>
      </c>
      <c r="C41">
        <v>12</v>
      </c>
      <c r="D41">
        <v>1</v>
      </c>
      <c r="E41">
        <v>0</v>
      </c>
      <c r="F41">
        <v>19</v>
      </c>
      <c r="G41">
        <v>11</v>
      </c>
      <c r="H41">
        <v>0</v>
      </c>
      <c r="I41">
        <v>3</v>
      </c>
      <c r="J41">
        <v>170</v>
      </c>
      <c r="K41">
        <v>36</v>
      </c>
      <c r="L41">
        <v>1</v>
      </c>
    </row>
    <row r="42" spans="1:12">
      <c r="A42">
        <v>0</v>
      </c>
      <c r="B42">
        <v>35</v>
      </c>
      <c r="C42">
        <v>14</v>
      </c>
      <c r="D42">
        <v>1</v>
      </c>
      <c r="E42">
        <v>0</v>
      </c>
      <c r="F42">
        <v>21</v>
      </c>
      <c r="G42">
        <v>12</v>
      </c>
      <c r="H42">
        <v>0</v>
      </c>
      <c r="I42">
        <v>2</v>
      </c>
      <c r="J42">
        <v>145</v>
      </c>
      <c r="K42">
        <v>36</v>
      </c>
      <c r="L42">
        <v>1</v>
      </c>
    </row>
    <row r="43" spans="1:12">
      <c r="A43">
        <v>1</v>
      </c>
      <c r="B43">
        <v>34</v>
      </c>
      <c r="C43">
        <v>12</v>
      </c>
      <c r="D43">
        <v>1</v>
      </c>
      <c r="E43">
        <v>1</v>
      </c>
      <c r="F43">
        <v>25</v>
      </c>
      <c r="G43">
        <v>10</v>
      </c>
      <c r="H43">
        <v>1</v>
      </c>
      <c r="I43">
        <v>1</v>
      </c>
      <c r="J43">
        <v>170</v>
      </c>
      <c r="K43">
        <v>34</v>
      </c>
      <c r="L43">
        <v>1</v>
      </c>
    </row>
    <row r="44" spans="1:12">
      <c r="A44">
        <v>0</v>
      </c>
      <c r="B44">
        <v>35</v>
      </c>
      <c r="C44">
        <v>18</v>
      </c>
      <c r="D44">
        <v>4</v>
      </c>
      <c r="E44">
        <v>0</v>
      </c>
      <c r="F44">
        <v>27</v>
      </c>
      <c r="G44">
        <v>13</v>
      </c>
      <c r="H44">
        <v>0</v>
      </c>
      <c r="I44">
        <v>4</v>
      </c>
      <c r="J44">
        <v>140</v>
      </c>
      <c r="K44">
        <v>35</v>
      </c>
      <c r="L44">
        <v>1</v>
      </c>
    </row>
    <row r="45" spans="1:12">
      <c r="A45">
        <v>0</v>
      </c>
      <c r="B45">
        <v>34</v>
      </c>
      <c r="C45">
        <v>12</v>
      </c>
      <c r="D45">
        <v>1</v>
      </c>
      <c r="E45">
        <v>0</v>
      </c>
      <c r="F45">
        <v>20</v>
      </c>
      <c r="G45">
        <v>11</v>
      </c>
      <c r="H45">
        <v>0</v>
      </c>
      <c r="I45">
        <v>3</v>
      </c>
      <c r="J45">
        <v>240</v>
      </c>
      <c r="K45">
        <v>34</v>
      </c>
      <c r="L45">
        <v>1</v>
      </c>
    </row>
    <row r="46" spans="1:12">
      <c r="A46">
        <v>0</v>
      </c>
      <c r="B46">
        <v>34</v>
      </c>
      <c r="C46">
        <v>12</v>
      </c>
      <c r="D46">
        <v>1</v>
      </c>
      <c r="E46">
        <v>1</v>
      </c>
      <c r="F46">
        <v>25</v>
      </c>
      <c r="G46">
        <v>16</v>
      </c>
      <c r="H46">
        <v>1</v>
      </c>
      <c r="I46">
        <v>1</v>
      </c>
      <c r="J46">
        <v>100</v>
      </c>
      <c r="K46">
        <v>35</v>
      </c>
      <c r="L46">
        <v>1</v>
      </c>
    </row>
    <row r="47" spans="1:12">
      <c r="A47">
        <v>0</v>
      </c>
      <c r="B47">
        <v>33</v>
      </c>
      <c r="C47">
        <v>15</v>
      </c>
      <c r="D47">
        <v>1</v>
      </c>
      <c r="E47">
        <v>1</v>
      </c>
      <c r="F47">
        <v>21</v>
      </c>
      <c r="G47">
        <v>11</v>
      </c>
      <c r="H47">
        <v>0</v>
      </c>
      <c r="I47">
        <v>1</v>
      </c>
      <c r="J47">
        <v>160</v>
      </c>
      <c r="K47">
        <v>33</v>
      </c>
      <c r="L47">
        <v>1</v>
      </c>
    </row>
    <row r="48" spans="1:12">
      <c r="A48">
        <v>0</v>
      </c>
      <c r="B48">
        <v>32</v>
      </c>
      <c r="C48">
        <v>12</v>
      </c>
      <c r="D48">
        <v>1</v>
      </c>
      <c r="E48">
        <v>1</v>
      </c>
      <c r="F48">
        <v>24</v>
      </c>
      <c r="G48">
        <v>12</v>
      </c>
      <c r="H48">
        <v>0</v>
      </c>
      <c r="I48">
        <v>2</v>
      </c>
      <c r="J48">
        <v>155</v>
      </c>
      <c r="K48">
        <v>32</v>
      </c>
      <c r="L48">
        <v>1</v>
      </c>
    </row>
    <row r="49" spans="1:12">
      <c r="A49">
        <v>0</v>
      </c>
      <c r="B49">
        <v>33</v>
      </c>
      <c r="C49">
        <v>14</v>
      </c>
      <c r="D49">
        <v>2</v>
      </c>
      <c r="E49">
        <v>0</v>
      </c>
      <c r="F49">
        <v>25</v>
      </c>
      <c r="G49">
        <v>12</v>
      </c>
      <c r="H49">
        <v>1</v>
      </c>
      <c r="I49">
        <v>2</v>
      </c>
      <c r="J49">
        <v>132</v>
      </c>
      <c r="K49">
        <v>33</v>
      </c>
      <c r="L49">
        <v>1</v>
      </c>
    </row>
    <row r="50" spans="1:12">
      <c r="A50">
        <v>1</v>
      </c>
      <c r="B50">
        <v>33</v>
      </c>
      <c r="C50">
        <v>18</v>
      </c>
      <c r="D50">
        <v>4</v>
      </c>
      <c r="E50">
        <v>0</v>
      </c>
      <c r="F50">
        <v>28</v>
      </c>
      <c r="G50">
        <v>14</v>
      </c>
      <c r="H50">
        <v>0</v>
      </c>
      <c r="I50">
        <v>5</v>
      </c>
      <c r="J50">
        <v>110</v>
      </c>
      <c r="K50">
        <v>33</v>
      </c>
      <c r="L50">
        <v>1</v>
      </c>
    </row>
    <row r="51" spans="1:12">
      <c r="A51">
        <v>0</v>
      </c>
      <c r="B51">
        <v>33</v>
      </c>
      <c r="C51">
        <v>12</v>
      </c>
      <c r="D51">
        <v>1</v>
      </c>
      <c r="E51">
        <v>0</v>
      </c>
      <c r="F51">
        <v>21</v>
      </c>
      <c r="G51">
        <v>12</v>
      </c>
      <c r="H51">
        <v>0</v>
      </c>
      <c r="I51">
        <v>2</v>
      </c>
      <c r="J51">
        <v>145</v>
      </c>
      <c r="K51">
        <v>29</v>
      </c>
      <c r="L51">
        <v>5</v>
      </c>
    </row>
    <row r="52" spans="1:12">
      <c r="A52">
        <v>0</v>
      </c>
      <c r="B52">
        <v>33</v>
      </c>
      <c r="C52">
        <v>13</v>
      </c>
      <c r="D52">
        <v>1</v>
      </c>
      <c r="E52">
        <v>1</v>
      </c>
      <c r="F52">
        <v>20</v>
      </c>
      <c r="G52">
        <v>13</v>
      </c>
      <c r="H52">
        <v>1</v>
      </c>
      <c r="I52">
        <v>2</v>
      </c>
      <c r="J52">
        <v>155</v>
      </c>
      <c r="K52">
        <v>29</v>
      </c>
      <c r="L52">
        <v>3</v>
      </c>
    </row>
    <row r="53" spans="1:12">
      <c r="A53">
        <v>0</v>
      </c>
      <c r="B53">
        <v>33</v>
      </c>
      <c r="C53">
        <v>18</v>
      </c>
      <c r="D53">
        <v>4</v>
      </c>
      <c r="E53">
        <v>0</v>
      </c>
      <c r="F53">
        <v>21</v>
      </c>
      <c r="G53">
        <v>13</v>
      </c>
      <c r="H53">
        <v>0</v>
      </c>
      <c r="I53">
        <v>1</v>
      </c>
      <c r="J53">
        <v>110</v>
      </c>
      <c r="K53">
        <v>33</v>
      </c>
      <c r="L53">
        <v>1</v>
      </c>
    </row>
    <row r="54" spans="1:12">
      <c r="A54">
        <v>1</v>
      </c>
      <c r="B54">
        <v>32</v>
      </c>
      <c r="C54">
        <v>12</v>
      </c>
      <c r="D54">
        <v>1</v>
      </c>
      <c r="E54">
        <v>0</v>
      </c>
      <c r="F54">
        <v>30</v>
      </c>
      <c r="G54">
        <v>13</v>
      </c>
      <c r="H54">
        <v>0</v>
      </c>
      <c r="I54">
        <v>1</v>
      </c>
      <c r="J54">
        <v>129</v>
      </c>
      <c r="K54">
        <v>32</v>
      </c>
      <c r="L54">
        <v>1</v>
      </c>
    </row>
    <row r="55" spans="1:12">
      <c r="A55">
        <v>0</v>
      </c>
      <c r="B55">
        <v>32</v>
      </c>
      <c r="C55">
        <v>12</v>
      </c>
      <c r="D55">
        <v>1</v>
      </c>
      <c r="E55">
        <v>0</v>
      </c>
      <c r="F55">
        <v>25</v>
      </c>
      <c r="G55">
        <v>11</v>
      </c>
      <c r="H55">
        <v>0</v>
      </c>
      <c r="I55">
        <v>2</v>
      </c>
      <c r="J55">
        <v>131</v>
      </c>
      <c r="K55">
        <v>32</v>
      </c>
      <c r="L55">
        <v>1</v>
      </c>
    </row>
    <row r="56" spans="1:12">
      <c r="A56">
        <v>0</v>
      </c>
      <c r="B56">
        <v>32</v>
      </c>
      <c r="C56">
        <v>15</v>
      </c>
      <c r="D56">
        <v>1</v>
      </c>
      <c r="E56">
        <v>1</v>
      </c>
      <c r="F56">
        <v>20</v>
      </c>
      <c r="G56">
        <v>9</v>
      </c>
      <c r="H56">
        <v>1</v>
      </c>
      <c r="I56">
        <v>2</v>
      </c>
      <c r="J56">
        <v>218</v>
      </c>
      <c r="K56">
        <v>26</v>
      </c>
      <c r="L56">
        <v>3</v>
      </c>
    </row>
    <row r="57" spans="1:12">
      <c r="A57">
        <v>0</v>
      </c>
      <c r="B57">
        <v>32</v>
      </c>
      <c r="C57">
        <v>12</v>
      </c>
      <c r="D57">
        <v>1</v>
      </c>
      <c r="E57">
        <v>0</v>
      </c>
      <c r="F57">
        <v>23</v>
      </c>
      <c r="G57">
        <v>16</v>
      </c>
      <c r="H57">
        <v>0</v>
      </c>
      <c r="I57">
        <v>2</v>
      </c>
      <c r="J57">
        <v>115</v>
      </c>
      <c r="K57">
        <v>32</v>
      </c>
      <c r="L57">
        <v>1</v>
      </c>
    </row>
    <row r="58" spans="1:12">
      <c r="A58">
        <v>1</v>
      </c>
      <c r="B58">
        <v>31</v>
      </c>
      <c r="C58">
        <v>17</v>
      </c>
      <c r="D58">
        <v>3</v>
      </c>
      <c r="E58">
        <v>0</v>
      </c>
      <c r="F58">
        <v>30</v>
      </c>
      <c r="G58">
        <v>14</v>
      </c>
      <c r="H58">
        <v>1</v>
      </c>
      <c r="I58">
        <v>0</v>
      </c>
      <c r="J58">
        <v>110</v>
      </c>
      <c r="K58">
        <v>30</v>
      </c>
      <c r="L58">
        <v>1</v>
      </c>
    </row>
    <row r="59" spans="1:12">
      <c r="A59">
        <v>0</v>
      </c>
      <c r="B59">
        <v>30</v>
      </c>
      <c r="C59">
        <v>10</v>
      </c>
      <c r="D59">
        <v>0</v>
      </c>
      <c r="E59">
        <v>0</v>
      </c>
      <c r="F59">
        <v>21</v>
      </c>
      <c r="G59">
        <v>14</v>
      </c>
      <c r="H59">
        <v>0</v>
      </c>
      <c r="I59">
        <v>3</v>
      </c>
      <c r="J59">
        <v>130</v>
      </c>
      <c r="K59">
        <v>30</v>
      </c>
      <c r="L59">
        <v>1</v>
      </c>
    </row>
    <row r="60" spans="1:12">
      <c r="A60">
        <v>0</v>
      </c>
      <c r="B60">
        <v>31</v>
      </c>
      <c r="C60">
        <v>13</v>
      </c>
      <c r="D60">
        <v>1</v>
      </c>
      <c r="E60">
        <v>1</v>
      </c>
      <c r="F60">
        <v>23</v>
      </c>
      <c r="G60">
        <v>11</v>
      </c>
      <c r="H60">
        <v>0</v>
      </c>
      <c r="I60">
        <v>2</v>
      </c>
      <c r="J60">
        <v>97</v>
      </c>
      <c r="K60">
        <v>31</v>
      </c>
      <c r="L60">
        <v>1</v>
      </c>
    </row>
    <row r="61" spans="1:12">
      <c r="A61">
        <v>0</v>
      </c>
      <c r="B61">
        <v>31</v>
      </c>
      <c r="C61">
        <v>13</v>
      </c>
      <c r="D61">
        <v>1</v>
      </c>
      <c r="E61">
        <v>1</v>
      </c>
      <c r="F61">
        <v>24</v>
      </c>
      <c r="G61">
        <v>13</v>
      </c>
      <c r="H61">
        <v>0</v>
      </c>
      <c r="I61">
        <v>3</v>
      </c>
      <c r="J61">
        <v>120</v>
      </c>
      <c r="K61">
        <v>31</v>
      </c>
      <c r="L61">
        <v>1</v>
      </c>
    </row>
    <row r="62" spans="1:12">
      <c r="A62">
        <v>1</v>
      </c>
      <c r="B62">
        <v>68</v>
      </c>
      <c r="C62">
        <v>14</v>
      </c>
      <c r="D62">
        <v>2</v>
      </c>
      <c r="E62">
        <v>0</v>
      </c>
      <c r="F62">
        <v>22</v>
      </c>
      <c r="G62">
        <v>12</v>
      </c>
      <c r="H62">
        <v>0</v>
      </c>
      <c r="I62">
        <v>3</v>
      </c>
      <c r="J62">
        <v>130</v>
      </c>
      <c r="K62">
        <v>50</v>
      </c>
      <c r="L62">
        <v>2</v>
      </c>
    </row>
    <row r="63" spans="1:12">
      <c r="A63">
        <v>0</v>
      </c>
      <c r="B63">
        <v>68</v>
      </c>
      <c r="C63">
        <v>8</v>
      </c>
      <c r="D63">
        <v>0</v>
      </c>
      <c r="E63">
        <v>0</v>
      </c>
      <c r="F63">
        <v>34</v>
      </c>
      <c r="G63">
        <v>14</v>
      </c>
      <c r="H63">
        <v>0</v>
      </c>
      <c r="I63">
        <v>3</v>
      </c>
      <c r="J63">
        <v>150</v>
      </c>
      <c r="K63">
        <v>53</v>
      </c>
      <c r="L63">
        <v>4</v>
      </c>
    </row>
    <row r="64" spans="1:12">
      <c r="A64">
        <v>0</v>
      </c>
      <c r="B64">
        <v>68</v>
      </c>
      <c r="C64">
        <v>12</v>
      </c>
      <c r="D64">
        <v>1</v>
      </c>
      <c r="E64">
        <v>1</v>
      </c>
      <c r="F64">
        <v>19</v>
      </c>
      <c r="G64">
        <v>12</v>
      </c>
      <c r="H64">
        <v>0</v>
      </c>
      <c r="I64">
        <v>7</v>
      </c>
      <c r="J64">
        <v>145</v>
      </c>
      <c r="K64">
        <v>46</v>
      </c>
      <c r="L64">
        <v>4</v>
      </c>
    </row>
    <row r="65" spans="1:12">
      <c r="A65">
        <v>1</v>
      </c>
      <c r="B65">
        <v>64</v>
      </c>
      <c r="C65">
        <v>12</v>
      </c>
      <c r="D65">
        <v>1</v>
      </c>
      <c r="E65">
        <v>1</v>
      </c>
      <c r="F65">
        <v>30</v>
      </c>
      <c r="G65">
        <v>14</v>
      </c>
      <c r="H65">
        <v>1</v>
      </c>
      <c r="I65">
        <v>3</v>
      </c>
      <c r="J65">
        <v>135</v>
      </c>
      <c r="K65">
        <v>53</v>
      </c>
      <c r="L65">
        <v>1</v>
      </c>
    </row>
    <row r="66" spans="1:12">
      <c r="A66">
        <v>0</v>
      </c>
      <c r="B66">
        <v>64</v>
      </c>
      <c r="C66">
        <v>13</v>
      </c>
      <c r="D66">
        <v>1</v>
      </c>
      <c r="E66">
        <v>0</v>
      </c>
      <c r="F66">
        <v>26</v>
      </c>
      <c r="G66">
        <v>11</v>
      </c>
      <c r="H66">
        <v>0</v>
      </c>
      <c r="I66">
        <v>5</v>
      </c>
      <c r="J66">
        <v>205</v>
      </c>
      <c r="K66">
        <v>42</v>
      </c>
      <c r="L66">
        <v>4</v>
      </c>
    </row>
    <row r="67" spans="1:12">
      <c r="A67">
        <v>0</v>
      </c>
      <c r="B67">
        <v>64</v>
      </c>
      <c r="C67">
        <v>12</v>
      </c>
      <c r="D67">
        <v>1</v>
      </c>
      <c r="E67">
        <v>0</v>
      </c>
      <c r="F67">
        <v>25</v>
      </c>
      <c r="G67">
        <v>10</v>
      </c>
      <c r="H67">
        <v>0</v>
      </c>
      <c r="I67">
        <v>2</v>
      </c>
      <c r="J67">
        <v>127</v>
      </c>
      <c r="K67">
        <v>50</v>
      </c>
      <c r="L67">
        <v>4</v>
      </c>
    </row>
    <row r="68" spans="1:12">
      <c r="A68">
        <v>1</v>
      </c>
      <c r="B68">
        <v>63</v>
      </c>
      <c r="C68">
        <v>10</v>
      </c>
      <c r="D68">
        <v>0</v>
      </c>
      <c r="E68">
        <v>0</v>
      </c>
      <c r="F68">
        <v>21</v>
      </c>
      <c r="G68">
        <v>15</v>
      </c>
      <c r="H68">
        <v>0</v>
      </c>
      <c r="I68">
        <v>5</v>
      </c>
      <c r="J68">
        <v>120</v>
      </c>
      <c r="K68">
        <v>52</v>
      </c>
      <c r="L68">
        <v>1</v>
      </c>
    </row>
    <row r="69" spans="1:12">
      <c r="A69">
        <v>0</v>
      </c>
      <c r="B69">
        <v>63</v>
      </c>
      <c r="C69">
        <v>12</v>
      </c>
      <c r="D69">
        <v>1</v>
      </c>
      <c r="E69">
        <v>1</v>
      </c>
      <c r="F69">
        <v>24</v>
      </c>
      <c r="G69">
        <v>11</v>
      </c>
      <c r="H69">
        <v>0</v>
      </c>
      <c r="I69">
        <v>3</v>
      </c>
      <c r="J69">
        <v>144</v>
      </c>
      <c r="K69">
        <v>50</v>
      </c>
      <c r="L69">
        <v>1</v>
      </c>
    </row>
    <row r="70" spans="1:12">
      <c r="A70">
        <v>0</v>
      </c>
      <c r="B70">
        <v>62</v>
      </c>
      <c r="C70">
        <v>12</v>
      </c>
      <c r="D70">
        <v>1</v>
      </c>
      <c r="E70">
        <v>0</v>
      </c>
      <c r="F70">
        <v>26</v>
      </c>
      <c r="G70">
        <v>15</v>
      </c>
      <c r="H70">
        <v>0</v>
      </c>
      <c r="I70">
        <v>2</v>
      </c>
      <c r="J70">
        <v>170</v>
      </c>
      <c r="K70">
        <v>39</v>
      </c>
      <c r="L70">
        <v>1</v>
      </c>
    </row>
    <row r="71" spans="1:12">
      <c r="A71">
        <v>0</v>
      </c>
      <c r="B71">
        <v>62</v>
      </c>
      <c r="C71">
        <v>16</v>
      </c>
      <c r="D71">
        <v>3</v>
      </c>
      <c r="E71">
        <v>1</v>
      </c>
      <c r="F71">
        <v>32</v>
      </c>
      <c r="G71">
        <v>12</v>
      </c>
      <c r="H71">
        <v>0</v>
      </c>
      <c r="I71">
        <v>2</v>
      </c>
      <c r="J71">
        <v>134</v>
      </c>
      <c r="K71">
        <v>53</v>
      </c>
      <c r="L71">
        <v>4</v>
      </c>
    </row>
    <row r="72" spans="1:12">
      <c r="A72">
        <v>0</v>
      </c>
      <c r="B72">
        <v>62</v>
      </c>
      <c r="C72">
        <v>10</v>
      </c>
      <c r="D72">
        <v>0</v>
      </c>
      <c r="E72">
        <v>0</v>
      </c>
      <c r="F72">
        <v>22</v>
      </c>
      <c r="G72">
        <v>12</v>
      </c>
      <c r="H72">
        <v>1</v>
      </c>
      <c r="I72">
        <v>3</v>
      </c>
      <c r="J72">
        <v>155</v>
      </c>
      <c r="K72">
        <v>39</v>
      </c>
      <c r="L72">
        <v>4</v>
      </c>
    </row>
    <row r="73" spans="1:12">
      <c r="A73">
        <v>1</v>
      </c>
      <c r="B73">
        <v>61</v>
      </c>
      <c r="C73">
        <v>8</v>
      </c>
      <c r="D73">
        <v>0</v>
      </c>
      <c r="E73">
        <v>0</v>
      </c>
      <c r="F73">
        <v>28</v>
      </c>
      <c r="G73">
        <v>14</v>
      </c>
      <c r="H73">
        <v>0</v>
      </c>
      <c r="I73">
        <v>3</v>
      </c>
      <c r="J73">
        <v>125</v>
      </c>
      <c r="K73">
        <v>53</v>
      </c>
      <c r="L73">
        <v>1</v>
      </c>
    </row>
    <row r="74" spans="1:12">
      <c r="A74">
        <v>0</v>
      </c>
      <c r="B74">
        <v>61</v>
      </c>
      <c r="C74">
        <v>13</v>
      </c>
      <c r="D74">
        <v>1</v>
      </c>
      <c r="E74">
        <v>1</v>
      </c>
      <c r="F74">
        <v>26</v>
      </c>
      <c r="G74">
        <v>13</v>
      </c>
      <c r="H74">
        <v>0</v>
      </c>
      <c r="I74">
        <v>1</v>
      </c>
      <c r="J74">
        <v>140</v>
      </c>
      <c r="K74">
        <v>50</v>
      </c>
      <c r="L74">
        <v>1</v>
      </c>
    </row>
    <row r="75" spans="1:12">
      <c r="A75">
        <v>0</v>
      </c>
      <c r="B75">
        <v>61</v>
      </c>
      <c r="C75">
        <v>8</v>
      </c>
      <c r="D75">
        <v>0</v>
      </c>
      <c r="E75">
        <v>1</v>
      </c>
      <c r="F75">
        <v>28</v>
      </c>
      <c r="G75">
        <v>15</v>
      </c>
      <c r="H75">
        <v>1</v>
      </c>
      <c r="I75">
        <v>3</v>
      </c>
      <c r="J75">
        <v>120</v>
      </c>
      <c r="K75">
        <v>41</v>
      </c>
      <c r="L75">
        <v>1</v>
      </c>
    </row>
    <row r="76" spans="1:12">
      <c r="A76">
        <v>0</v>
      </c>
      <c r="B76">
        <v>61</v>
      </c>
      <c r="C76">
        <v>16</v>
      </c>
      <c r="D76">
        <v>3</v>
      </c>
      <c r="E76">
        <v>0</v>
      </c>
      <c r="F76">
        <v>27</v>
      </c>
      <c r="G76">
        <v>14</v>
      </c>
      <c r="H76">
        <v>0</v>
      </c>
      <c r="I76">
        <v>2</v>
      </c>
      <c r="J76">
        <v>134</v>
      </c>
      <c r="K76">
        <v>45</v>
      </c>
      <c r="L76">
        <v>1</v>
      </c>
    </row>
    <row r="77" spans="1:12">
      <c r="A77">
        <v>1</v>
      </c>
      <c r="B77">
        <v>61</v>
      </c>
      <c r="C77">
        <v>11</v>
      </c>
      <c r="D77">
        <v>0</v>
      </c>
      <c r="E77">
        <v>0</v>
      </c>
      <c r="F77">
        <v>22</v>
      </c>
      <c r="G77">
        <v>16</v>
      </c>
      <c r="H77">
        <v>0</v>
      </c>
      <c r="I77">
        <v>4</v>
      </c>
      <c r="J77">
        <v>150</v>
      </c>
      <c r="K77">
        <v>56</v>
      </c>
      <c r="L77">
        <v>1</v>
      </c>
    </row>
    <row r="78" spans="1:12">
      <c r="A78">
        <v>0</v>
      </c>
      <c r="B78">
        <v>62</v>
      </c>
      <c r="C78">
        <v>9</v>
      </c>
      <c r="D78">
        <v>0</v>
      </c>
      <c r="E78">
        <v>1</v>
      </c>
      <c r="F78">
        <v>30</v>
      </c>
      <c r="G78">
        <v>11</v>
      </c>
      <c r="H78">
        <v>0</v>
      </c>
      <c r="I78">
        <v>1</v>
      </c>
      <c r="J78">
        <v>117</v>
      </c>
      <c r="K78">
        <v>36</v>
      </c>
      <c r="L78">
        <v>2</v>
      </c>
    </row>
    <row r="79" spans="1:12">
      <c r="A79">
        <v>0</v>
      </c>
      <c r="B79">
        <v>62</v>
      </c>
      <c r="C79">
        <v>15</v>
      </c>
      <c r="D79">
        <v>2</v>
      </c>
      <c r="E79">
        <v>1</v>
      </c>
      <c r="F79">
        <v>25</v>
      </c>
      <c r="G79">
        <v>15</v>
      </c>
      <c r="H79">
        <v>1</v>
      </c>
      <c r="I79">
        <v>4</v>
      </c>
      <c r="J79">
        <v>147</v>
      </c>
      <c r="K79">
        <v>52</v>
      </c>
      <c r="L79">
        <v>1</v>
      </c>
    </row>
    <row r="80" spans="1:12">
      <c r="A80">
        <v>0</v>
      </c>
      <c r="B80">
        <v>61</v>
      </c>
      <c r="C80">
        <v>14</v>
      </c>
      <c r="D80">
        <v>1</v>
      </c>
      <c r="E80">
        <v>1</v>
      </c>
      <c r="F80">
        <v>26</v>
      </c>
      <c r="G80">
        <v>13</v>
      </c>
      <c r="H80">
        <v>1</v>
      </c>
      <c r="I80">
        <v>3</v>
      </c>
      <c r="J80">
        <v>124</v>
      </c>
      <c r="K80">
        <v>52</v>
      </c>
      <c r="L80">
        <v>1</v>
      </c>
    </row>
    <row r="81" spans="1:12">
      <c r="A81">
        <v>1</v>
      </c>
      <c r="B81">
        <v>61</v>
      </c>
      <c r="C81">
        <v>12</v>
      </c>
      <c r="D81">
        <v>1</v>
      </c>
      <c r="E81">
        <v>0</v>
      </c>
      <c r="F81">
        <v>26</v>
      </c>
      <c r="G81">
        <v>17</v>
      </c>
      <c r="H81">
        <v>0</v>
      </c>
      <c r="I81">
        <v>2</v>
      </c>
      <c r="J81">
        <v>129</v>
      </c>
      <c r="K81">
        <v>34</v>
      </c>
      <c r="L81">
        <v>1</v>
      </c>
    </row>
    <row r="82" spans="1:12">
      <c r="A82">
        <v>0</v>
      </c>
      <c r="B82">
        <v>62</v>
      </c>
      <c r="C82">
        <v>18</v>
      </c>
      <c r="D82">
        <v>4</v>
      </c>
      <c r="E82">
        <v>0</v>
      </c>
      <c r="F82">
        <v>33</v>
      </c>
      <c r="G82">
        <v>11</v>
      </c>
      <c r="H82">
        <v>0</v>
      </c>
      <c r="I82">
        <v>1</v>
      </c>
      <c r="J82">
        <v>170</v>
      </c>
      <c r="K82">
        <v>54</v>
      </c>
      <c r="L82">
        <v>2</v>
      </c>
    </row>
    <row r="83" spans="1:12">
      <c r="A83">
        <v>0</v>
      </c>
      <c r="B83">
        <v>61</v>
      </c>
      <c r="C83">
        <v>6</v>
      </c>
      <c r="D83">
        <v>0</v>
      </c>
      <c r="E83">
        <v>1</v>
      </c>
      <c r="F83">
        <v>25</v>
      </c>
      <c r="G83">
        <v>13</v>
      </c>
      <c r="H83">
        <v>0</v>
      </c>
      <c r="I83">
        <v>3</v>
      </c>
      <c r="J83">
        <v>153</v>
      </c>
      <c r="K83">
        <v>50</v>
      </c>
      <c r="L83">
        <v>1</v>
      </c>
    </row>
    <row r="84" spans="1:12">
      <c r="A84">
        <v>0</v>
      </c>
      <c r="B84">
        <v>61</v>
      </c>
      <c r="C84">
        <v>12</v>
      </c>
      <c r="D84">
        <v>1</v>
      </c>
      <c r="E84">
        <v>0</v>
      </c>
      <c r="F84">
        <v>29</v>
      </c>
      <c r="G84">
        <v>13</v>
      </c>
      <c r="H84">
        <v>1</v>
      </c>
      <c r="I84">
        <v>2</v>
      </c>
      <c r="J84">
        <v>130</v>
      </c>
      <c r="K84">
        <v>55</v>
      </c>
      <c r="L84">
        <v>4</v>
      </c>
    </row>
    <row r="85" spans="1:12">
      <c r="A85">
        <v>1</v>
      </c>
      <c r="B85">
        <v>61</v>
      </c>
      <c r="C85">
        <v>10</v>
      </c>
      <c r="D85">
        <v>0</v>
      </c>
      <c r="E85">
        <v>1</v>
      </c>
      <c r="F85">
        <v>21</v>
      </c>
      <c r="G85">
        <v>15</v>
      </c>
      <c r="H85">
        <v>0</v>
      </c>
      <c r="I85">
        <v>3</v>
      </c>
      <c r="J85">
        <v>145</v>
      </c>
      <c r="K85">
        <v>53</v>
      </c>
      <c r="L85">
        <v>1</v>
      </c>
    </row>
    <row r="86" spans="1:12">
      <c r="A86">
        <v>0</v>
      </c>
      <c r="B86">
        <v>61</v>
      </c>
      <c r="C86">
        <v>8</v>
      </c>
      <c r="D86">
        <v>0</v>
      </c>
      <c r="E86">
        <v>0</v>
      </c>
      <c r="F86">
        <v>18</v>
      </c>
      <c r="G86">
        <v>13</v>
      </c>
      <c r="H86">
        <v>0</v>
      </c>
      <c r="I86">
        <v>5</v>
      </c>
      <c r="J86">
        <v>140</v>
      </c>
      <c r="K86">
        <v>56</v>
      </c>
      <c r="L86">
        <v>4</v>
      </c>
    </row>
    <row r="87" spans="1:12">
      <c r="A87">
        <v>0</v>
      </c>
      <c r="B87">
        <v>61</v>
      </c>
      <c r="C87">
        <v>12</v>
      </c>
      <c r="D87">
        <v>1</v>
      </c>
      <c r="E87">
        <v>0</v>
      </c>
      <c r="F87">
        <v>22</v>
      </c>
      <c r="G87">
        <v>17</v>
      </c>
      <c r="H87">
        <v>0</v>
      </c>
      <c r="I87">
        <v>2</v>
      </c>
      <c r="J87">
        <v>155</v>
      </c>
      <c r="K87">
        <v>55</v>
      </c>
      <c r="L87">
        <v>1</v>
      </c>
    </row>
    <row r="88" spans="1:12">
      <c r="A88">
        <v>0</v>
      </c>
      <c r="B88">
        <v>61</v>
      </c>
      <c r="C88">
        <v>8</v>
      </c>
      <c r="D88">
        <v>0</v>
      </c>
      <c r="E88">
        <v>0</v>
      </c>
      <c r="F88">
        <v>23</v>
      </c>
      <c r="G88">
        <v>15</v>
      </c>
      <c r="H88">
        <v>1</v>
      </c>
      <c r="I88">
        <v>3</v>
      </c>
      <c r="J88">
        <v>116</v>
      </c>
      <c r="K88">
        <v>43</v>
      </c>
      <c r="L88">
        <v>1</v>
      </c>
    </row>
    <row r="89" spans="1:12">
      <c r="A89">
        <v>1</v>
      </c>
      <c r="B89">
        <v>60</v>
      </c>
      <c r="C89">
        <v>13</v>
      </c>
      <c r="D89">
        <v>1</v>
      </c>
      <c r="E89">
        <v>0</v>
      </c>
      <c r="F89">
        <v>28</v>
      </c>
      <c r="G89">
        <v>17</v>
      </c>
      <c r="H89">
        <v>0</v>
      </c>
      <c r="I89">
        <v>2</v>
      </c>
      <c r="J89">
        <v>115</v>
      </c>
      <c r="K89">
        <v>51</v>
      </c>
      <c r="L89">
        <v>1</v>
      </c>
    </row>
    <row r="90" spans="1:12">
      <c r="A90">
        <v>0</v>
      </c>
      <c r="B90">
        <v>60</v>
      </c>
      <c r="C90">
        <v>12</v>
      </c>
      <c r="D90">
        <v>1</v>
      </c>
      <c r="E90">
        <v>1</v>
      </c>
      <c r="F90">
        <v>25</v>
      </c>
      <c r="G90">
        <v>11</v>
      </c>
      <c r="H90">
        <v>0</v>
      </c>
      <c r="I90">
        <v>2</v>
      </c>
      <c r="J90">
        <v>175</v>
      </c>
      <c r="K90">
        <v>42</v>
      </c>
      <c r="L90">
        <v>1</v>
      </c>
    </row>
    <row r="91" spans="1:12">
      <c r="A91">
        <v>0</v>
      </c>
      <c r="B91">
        <v>60</v>
      </c>
      <c r="C91">
        <v>11</v>
      </c>
      <c r="D91">
        <v>0</v>
      </c>
      <c r="E91">
        <v>1</v>
      </c>
      <c r="F91">
        <v>24</v>
      </c>
      <c r="G91">
        <v>13</v>
      </c>
      <c r="H91">
        <v>0</v>
      </c>
      <c r="I91">
        <v>2</v>
      </c>
      <c r="J91">
        <v>179</v>
      </c>
      <c r="K91">
        <v>50</v>
      </c>
      <c r="L91">
        <v>1</v>
      </c>
    </row>
    <row r="92" spans="1:12">
      <c r="A92">
        <v>0</v>
      </c>
      <c r="B92">
        <v>60</v>
      </c>
      <c r="C92">
        <v>13</v>
      </c>
      <c r="D92">
        <v>2</v>
      </c>
      <c r="E92">
        <v>0</v>
      </c>
      <c r="F92">
        <v>33</v>
      </c>
      <c r="G92">
        <v>15</v>
      </c>
      <c r="H92">
        <v>0</v>
      </c>
      <c r="I92">
        <v>3</v>
      </c>
      <c r="J92">
        <v>119</v>
      </c>
      <c r="K92">
        <v>47</v>
      </c>
      <c r="L92">
        <v>1</v>
      </c>
    </row>
    <row r="93" spans="1:12">
      <c r="A93">
        <v>1</v>
      </c>
      <c r="B93">
        <v>58</v>
      </c>
      <c r="C93">
        <v>12</v>
      </c>
      <c r="D93">
        <v>1</v>
      </c>
      <c r="E93">
        <v>0</v>
      </c>
      <c r="F93">
        <v>20</v>
      </c>
      <c r="G93">
        <v>12</v>
      </c>
      <c r="H93">
        <v>1</v>
      </c>
      <c r="I93">
        <v>5</v>
      </c>
      <c r="J93">
        <v>153</v>
      </c>
      <c r="K93">
        <v>53</v>
      </c>
      <c r="L93">
        <v>1</v>
      </c>
    </row>
    <row r="94" spans="1:12">
      <c r="A94">
        <v>0</v>
      </c>
      <c r="B94">
        <v>58</v>
      </c>
      <c r="C94">
        <v>12</v>
      </c>
      <c r="D94">
        <v>1</v>
      </c>
      <c r="E94">
        <v>1</v>
      </c>
      <c r="F94">
        <v>25</v>
      </c>
      <c r="G94">
        <v>16</v>
      </c>
      <c r="H94">
        <v>0</v>
      </c>
      <c r="I94">
        <v>3</v>
      </c>
      <c r="J94">
        <v>185</v>
      </c>
      <c r="K94">
        <v>55</v>
      </c>
      <c r="L94">
        <v>1</v>
      </c>
    </row>
    <row r="95" spans="1:12">
      <c r="A95">
        <v>0</v>
      </c>
      <c r="B95">
        <v>58</v>
      </c>
      <c r="C95">
        <v>12</v>
      </c>
      <c r="D95">
        <v>1</v>
      </c>
      <c r="E95">
        <v>0</v>
      </c>
      <c r="F95">
        <v>24</v>
      </c>
      <c r="G95">
        <v>10</v>
      </c>
      <c r="H95">
        <v>1</v>
      </c>
      <c r="I95">
        <v>0</v>
      </c>
      <c r="J95">
        <v>140</v>
      </c>
      <c r="K95">
        <v>25</v>
      </c>
      <c r="L95">
        <v>2</v>
      </c>
    </row>
    <row r="96" spans="1:12">
      <c r="A96">
        <v>1</v>
      </c>
      <c r="B96">
        <v>55</v>
      </c>
      <c r="C96">
        <v>14</v>
      </c>
      <c r="D96">
        <v>2</v>
      </c>
      <c r="E96">
        <v>0</v>
      </c>
      <c r="F96">
        <v>30</v>
      </c>
      <c r="G96">
        <v>16</v>
      </c>
      <c r="H96">
        <v>1</v>
      </c>
      <c r="I96">
        <v>2</v>
      </c>
      <c r="J96">
        <v>126</v>
      </c>
      <c r="K96">
        <v>44</v>
      </c>
      <c r="L96">
        <v>1</v>
      </c>
    </row>
    <row r="97" spans="1:12">
      <c r="A97">
        <v>0</v>
      </c>
      <c r="B97">
        <v>55</v>
      </c>
      <c r="C97">
        <v>12</v>
      </c>
      <c r="D97">
        <v>1</v>
      </c>
      <c r="E97">
        <v>1</v>
      </c>
      <c r="F97">
        <v>30</v>
      </c>
      <c r="G97">
        <v>13</v>
      </c>
      <c r="H97">
        <v>0</v>
      </c>
      <c r="I97">
        <v>2</v>
      </c>
      <c r="J97">
        <v>193</v>
      </c>
      <c r="K97">
        <v>50</v>
      </c>
      <c r="L97">
        <v>4</v>
      </c>
    </row>
    <row r="98" spans="1:12">
      <c r="A98">
        <v>0</v>
      </c>
      <c r="B98">
        <v>55</v>
      </c>
      <c r="C98">
        <v>11</v>
      </c>
      <c r="D98">
        <v>0</v>
      </c>
      <c r="E98">
        <v>0</v>
      </c>
      <c r="F98">
        <v>24</v>
      </c>
      <c r="G98">
        <v>14</v>
      </c>
      <c r="H98">
        <v>0</v>
      </c>
      <c r="I98">
        <v>6</v>
      </c>
      <c r="J98">
        <v>116</v>
      </c>
      <c r="K98">
        <v>47</v>
      </c>
      <c r="L98">
        <v>1</v>
      </c>
    </row>
    <row r="99" spans="1:12">
      <c r="A99">
        <v>1</v>
      </c>
      <c r="B99">
        <v>55</v>
      </c>
      <c r="C99">
        <v>12</v>
      </c>
      <c r="D99">
        <v>1</v>
      </c>
      <c r="E99">
        <v>0</v>
      </c>
      <c r="F99">
        <v>24</v>
      </c>
      <c r="G99">
        <v>14</v>
      </c>
      <c r="H99">
        <v>0</v>
      </c>
      <c r="I99">
        <v>4</v>
      </c>
      <c r="J99">
        <v>140</v>
      </c>
      <c r="K99">
        <v>52</v>
      </c>
      <c r="L99">
        <v>1</v>
      </c>
    </row>
    <row r="100" spans="1:12">
      <c r="A100">
        <v>0</v>
      </c>
      <c r="B100">
        <v>55</v>
      </c>
      <c r="C100">
        <v>12</v>
      </c>
      <c r="D100">
        <v>1</v>
      </c>
      <c r="E100">
        <v>0</v>
      </c>
      <c r="F100">
        <v>16</v>
      </c>
      <c r="G100">
        <v>12</v>
      </c>
      <c r="H100">
        <v>2</v>
      </c>
      <c r="I100">
        <v>3</v>
      </c>
      <c r="J100">
        <v>175</v>
      </c>
      <c r="K100">
        <v>47</v>
      </c>
      <c r="L100">
        <v>1</v>
      </c>
    </row>
    <row r="101" spans="1:12">
      <c r="A101">
        <v>0</v>
      </c>
      <c r="B101">
        <v>55</v>
      </c>
      <c r="C101">
        <v>10</v>
      </c>
      <c r="D101">
        <v>0</v>
      </c>
      <c r="E101">
        <v>0</v>
      </c>
      <c r="F101">
        <v>26</v>
      </c>
      <c r="G101">
        <v>15</v>
      </c>
      <c r="H101">
        <v>2</v>
      </c>
      <c r="I101">
        <v>4</v>
      </c>
      <c r="J101">
        <v>155</v>
      </c>
      <c r="K101">
        <v>50</v>
      </c>
      <c r="L101">
        <v>3</v>
      </c>
    </row>
    <row r="102" spans="1:12">
      <c r="A102">
        <v>0</v>
      </c>
      <c r="B102">
        <v>52</v>
      </c>
      <c r="C102">
        <v>14</v>
      </c>
      <c r="D102">
        <v>2</v>
      </c>
      <c r="E102">
        <v>0</v>
      </c>
      <c r="F102">
        <v>28</v>
      </c>
      <c r="G102">
        <v>12</v>
      </c>
      <c r="H102">
        <v>0</v>
      </c>
      <c r="I102">
        <v>2</v>
      </c>
      <c r="J102">
        <v>113</v>
      </c>
      <c r="K102">
        <v>45</v>
      </c>
      <c r="L102">
        <v>1</v>
      </c>
    </row>
    <row r="103" spans="1:12">
      <c r="A103">
        <v>0</v>
      </c>
      <c r="B103">
        <v>52</v>
      </c>
      <c r="C103">
        <v>8</v>
      </c>
      <c r="D103">
        <v>0</v>
      </c>
      <c r="E103">
        <v>1</v>
      </c>
      <c r="F103">
        <v>20</v>
      </c>
      <c r="G103">
        <v>14</v>
      </c>
      <c r="H103">
        <v>2</v>
      </c>
      <c r="I103">
        <v>6</v>
      </c>
      <c r="J103">
        <v>110</v>
      </c>
      <c r="K103">
        <v>40</v>
      </c>
      <c r="L103">
        <v>4</v>
      </c>
    </row>
    <row r="104" spans="1:12">
      <c r="A104">
        <v>0</v>
      </c>
      <c r="B104">
        <v>52</v>
      </c>
      <c r="C104">
        <v>12</v>
      </c>
      <c r="D104">
        <v>1</v>
      </c>
      <c r="E104">
        <v>1</v>
      </c>
      <c r="F104">
        <v>25</v>
      </c>
      <c r="G104">
        <v>13</v>
      </c>
      <c r="H104">
        <v>0</v>
      </c>
      <c r="I104">
        <v>3</v>
      </c>
      <c r="J104">
        <v>190</v>
      </c>
      <c r="K104">
        <v>48</v>
      </c>
      <c r="L104">
        <v>1</v>
      </c>
    </row>
    <row r="105" spans="1:12">
      <c r="A105">
        <v>1</v>
      </c>
      <c r="B105">
        <v>52</v>
      </c>
      <c r="C105">
        <v>12</v>
      </c>
      <c r="D105">
        <v>1</v>
      </c>
      <c r="E105">
        <v>0</v>
      </c>
      <c r="F105">
        <v>23</v>
      </c>
      <c r="G105">
        <v>14</v>
      </c>
      <c r="H105">
        <v>0</v>
      </c>
      <c r="I105">
        <v>3</v>
      </c>
      <c r="J105">
        <v>114</v>
      </c>
      <c r="K105">
        <v>50</v>
      </c>
      <c r="L105">
        <v>1</v>
      </c>
    </row>
    <row r="106" spans="1:12">
      <c r="A106">
        <v>0</v>
      </c>
      <c r="B106">
        <v>52</v>
      </c>
      <c r="C106">
        <v>14</v>
      </c>
      <c r="D106">
        <v>2</v>
      </c>
      <c r="E106">
        <v>1</v>
      </c>
      <c r="F106">
        <v>21</v>
      </c>
      <c r="G106">
        <v>12</v>
      </c>
      <c r="H106">
        <v>0</v>
      </c>
      <c r="I106">
        <v>3</v>
      </c>
      <c r="J106">
        <v>126</v>
      </c>
      <c r="K106">
        <v>43</v>
      </c>
      <c r="L106">
        <v>1</v>
      </c>
    </row>
    <row r="107" spans="1:12">
      <c r="A107">
        <v>0</v>
      </c>
      <c r="B107">
        <v>52</v>
      </c>
      <c r="C107">
        <v>9</v>
      </c>
      <c r="D107">
        <v>0</v>
      </c>
      <c r="E107">
        <v>1</v>
      </c>
      <c r="F107">
        <v>23</v>
      </c>
      <c r="G107">
        <v>11</v>
      </c>
      <c r="H107">
        <v>1</v>
      </c>
      <c r="I107">
        <v>2</v>
      </c>
      <c r="J107">
        <v>159</v>
      </c>
      <c r="K107">
        <v>42</v>
      </c>
      <c r="L107">
        <v>1</v>
      </c>
    </row>
    <row r="108" spans="1:12">
      <c r="A108">
        <v>0</v>
      </c>
      <c r="B108">
        <v>52</v>
      </c>
      <c r="C108">
        <v>12</v>
      </c>
      <c r="D108">
        <v>1</v>
      </c>
      <c r="E108">
        <v>0</v>
      </c>
      <c r="F108">
        <v>20</v>
      </c>
      <c r="G108">
        <v>11</v>
      </c>
      <c r="H108">
        <v>0</v>
      </c>
      <c r="I108">
        <v>5</v>
      </c>
      <c r="J108">
        <v>170</v>
      </c>
      <c r="K108">
        <v>42</v>
      </c>
      <c r="L108">
        <v>1</v>
      </c>
    </row>
    <row r="109" spans="1:12">
      <c r="A109">
        <v>1</v>
      </c>
      <c r="B109">
        <v>51</v>
      </c>
      <c r="C109">
        <v>7</v>
      </c>
      <c r="D109">
        <v>0</v>
      </c>
      <c r="E109">
        <v>1</v>
      </c>
      <c r="F109">
        <v>24</v>
      </c>
      <c r="G109">
        <v>16</v>
      </c>
      <c r="H109">
        <v>0</v>
      </c>
      <c r="I109">
        <v>5</v>
      </c>
      <c r="J109">
        <v>156</v>
      </c>
      <c r="K109">
        <v>52</v>
      </c>
      <c r="L109">
        <v>1</v>
      </c>
    </row>
    <row r="110" spans="1:12">
      <c r="A110">
        <v>0</v>
      </c>
      <c r="B110">
        <v>51</v>
      </c>
      <c r="C110">
        <v>16</v>
      </c>
      <c r="D110">
        <v>3</v>
      </c>
      <c r="E110">
        <v>1</v>
      </c>
      <c r="F110">
        <v>24</v>
      </c>
      <c r="G110">
        <v>12</v>
      </c>
      <c r="H110">
        <v>3</v>
      </c>
      <c r="I110">
        <v>4</v>
      </c>
      <c r="J110">
        <v>161</v>
      </c>
      <c r="K110">
        <v>50</v>
      </c>
      <c r="L110">
        <v>1</v>
      </c>
    </row>
    <row r="111" spans="1:12">
      <c r="A111">
        <v>0</v>
      </c>
      <c r="B111">
        <v>51</v>
      </c>
      <c r="C111">
        <v>15</v>
      </c>
      <c r="D111">
        <v>2</v>
      </c>
      <c r="E111">
        <v>0</v>
      </c>
      <c r="F111">
        <v>22</v>
      </c>
      <c r="G111">
        <v>13</v>
      </c>
      <c r="H111">
        <v>0</v>
      </c>
      <c r="I111">
        <v>2</v>
      </c>
      <c r="J111">
        <v>150</v>
      </c>
      <c r="K111">
        <v>45</v>
      </c>
      <c r="L111">
        <v>1</v>
      </c>
    </row>
    <row r="112" spans="1:12">
      <c r="A112">
        <v>0</v>
      </c>
      <c r="B112">
        <v>51</v>
      </c>
      <c r="C112">
        <v>15</v>
      </c>
      <c r="D112">
        <v>2</v>
      </c>
      <c r="E112">
        <v>0</v>
      </c>
      <c r="F112">
        <v>24</v>
      </c>
      <c r="G112">
        <v>13</v>
      </c>
      <c r="H112">
        <v>0</v>
      </c>
      <c r="I112">
        <v>5</v>
      </c>
      <c r="J112">
        <v>115</v>
      </c>
      <c r="K112">
        <v>51</v>
      </c>
      <c r="L112">
        <v>1</v>
      </c>
    </row>
    <row r="113" spans="1:12">
      <c r="A113">
        <v>0</v>
      </c>
      <c r="B113">
        <v>49</v>
      </c>
      <c r="C113">
        <v>12</v>
      </c>
      <c r="D113">
        <v>1</v>
      </c>
      <c r="E113">
        <v>1</v>
      </c>
      <c r="F113">
        <v>25</v>
      </c>
      <c r="G113">
        <v>12</v>
      </c>
      <c r="H113">
        <v>0</v>
      </c>
      <c r="I113">
        <v>2</v>
      </c>
      <c r="J113">
        <v>235</v>
      </c>
      <c r="K113">
        <v>44</v>
      </c>
      <c r="L113">
        <v>1</v>
      </c>
    </row>
    <row r="114" spans="1:12">
      <c r="A114">
        <v>0</v>
      </c>
      <c r="B114">
        <v>49</v>
      </c>
      <c r="C114">
        <v>12</v>
      </c>
      <c r="D114">
        <v>1</v>
      </c>
      <c r="E114">
        <v>1</v>
      </c>
      <c r="F114">
        <v>24</v>
      </c>
      <c r="G114">
        <v>13</v>
      </c>
      <c r="H114">
        <v>0</v>
      </c>
      <c r="I114">
        <v>3</v>
      </c>
      <c r="J114">
        <v>145</v>
      </c>
      <c r="K114">
        <v>44</v>
      </c>
      <c r="L114">
        <v>1</v>
      </c>
    </row>
    <row r="115" spans="1:12">
      <c r="A115">
        <v>0</v>
      </c>
      <c r="B115">
        <v>49</v>
      </c>
      <c r="C115">
        <v>14</v>
      </c>
      <c r="D115">
        <v>2</v>
      </c>
      <c r="E115">
        <v>0</v>
      </c>
      <c r="F115">
        <v>25</v>
      </c>
      <c r="G115">
        <v>13</v>
      </c>
      <c r="H115">
        <v>0</v>
      </c>
      <c r="I115">
        <v>3</v>
      </c>
      <c r="J115">
        <v>123</v>
      </c>
      <c r="K115">
        <v>49</v>
      </c>
      <c r="L115">
        <v>1</v>
      </c>
    </row>
    <row r="116" spans="1:12">
      <c r="A116">
        <v>1</v>
      </c>
      <c r="B116">
        <v>48</v>
      </c>
      <c r="C116">
        <v>17</v>
      </c>
      <c r="D116">
        <v>4</v>
      </c>
      <c r="E116">
        <v>0</v>
      </c>
      <c r="F116">
        <v>22</v>
      </c>
      <c r="G116">
        <v>11</v>
      </c>
      <c r="H116">
        <v>0</v>
      </c>
      <c r="I116">
        <v>3</v>
      </c>
      <c r="J116">
        <v>145</v>
      </c>
      <c r="K116">
        <v>48</v>
      </c>
      <c r="L116">
        <v>1</v>
      </c>
    </row>
    <row r="117" spans="1:12">
      <c r="A117">
        <v>0</v>
      </c>
      <c r="B117">
        <v>48</v>
      </c>
      <c r="C117">
        <v>12</v>
      </c>
      <c r="D117">
        <v>1</v>
      </c>
      <c r="E117">
        <v>1</v>
      </c>
      <c r="F117">
        <v>22</v>
      </c>
      <c r="G117">
        <v>11</v>
      </c>
      <c r="H117">
        <v>0</v>
      </c>
      <c r="I117">
        <v>1</v>
      </c>
      <c r="J117">
        <v>155</v>
      </c>
      <c r="K117">
        <v>48</v>
      </c>
      <c r="L117">
        <v>1</v>
      </c>
    </row>
    <row r="118" spans="1:12">
      <c r="A118">
        <v>0</v>
      </c>
      <c r="B118">
        <v>48</v>
      </c>
      <c r="C118">
        <v>12</v>
      </c>
      <c r="D118">
        <v>1</v>
      </c>
      <c r="E118">
        <v>1</v>
      </c>
      <c r="F118">
        <v>19</v>
      </c>
      <c r="G118">
        <v>11</v>
      </c>
      <c r="H118">
        <v>7</v>
      </c>
      <c r="I118">
        <v>0</v>
      </c>
      <c r="J118">
        <v>190</v>
      </c>
      <c r="K118">
        <v>29</v>
      </c>
      <c r="L118">
        <v>1</v>
      </c>
    </row>
    <row r="119" spans="1:12">
      <c r="A119">
        <v>1</v>
      </c>
      <c r="B119">
        <v>47</v>
      </c>
      <c r="C119">
        <v>17</v>
      </c>
      <c r="D119">
        <v>4</v>
      </c>
      <c r="E119">
        <v>0</v>
      </c>
      <c r="F119">
        <v>26</v>
      </c>
      <c r="G119">
        <v>14</v>
      </c>
      <c r="H119">
        <v>0</v>
      </c>
      <c r="I119">
        <v>4</v>
      </c>
      <c r="J119">
        <v>120</v>
      </c>
      <c r="K119">
        <v>47</v>
      </c>
      <c r="L119">
        <v>1</v>
      </c>
    </row>
    <row r="120" spans="1:12">
      <c r="A120">
        <v>0</v>
      </c>
      <c r="B120">
        <v>47</v>
      </c>
      <c r="C120">
        <v>15</v>
      </c>
      <c r="D120">
        <v>1</v>
      </c>
      <c r="E120">
        <v>1</v>
      </c>
      <c r="F120">
        <v>20</v>
      </c>
      <c r="G120">
        <v>12</v>
      </c>
      <c r="H120">
        <v>0</v>
      </c>
      <c r="I120">
        <v>5</v>
      </c>
      <c r="J120">
        <v>110</v>
      </c>
      <c r="K120">
        <v>47</v>
      </c>
      <c r="L120">
        <v>1</v>
      </c>
    </row>
    <row r="121" spans="1:12">
      <c r="A121">
        <v>0</v>
      </c>
      <c r="B121">
        <v>47</v>
      </c>
      <c r="C121">
        <v>12</v>
      </c>
      <c r="D121">
        <v>1</v>
      </c>
      <c r="E121">
        <v>0</v>
      </c>
      <c r="F121">
        <v>24</v>
      </c>
      <c r="G121">
        <v>14</v>
      </c>
      <c r="H121">
        <v>0</v>
      </c>
      <c r="I121">
        <v>2</v>
      </c>
      <c r="J121">
        <v>148</v>
      </c>
      <c r="K121">
        <v>45</v>
      </c>
      <c r="L121">
        <v>1</v>
      </c>
    </row>
    <row r="122" spans="1:12">
      <c r="A122">
        <v>0</v>
      </c>
      <c r="B122">
        <v>47</v>
      </c>
      <c r="C122">
        <v>10</v>
      </c>
      <c r="D122">
        <v>0</v>
      </c>
      <c r="E122">
        <v>0</v>
      </c>
      <c r="F122">
        <v>22</v>
      </c>
      <c r="G122">
        <v>13</v>
      </c>
      <c r="H122">
        <v>0</v>
      </c>
      <c r="I122">
        <v>3</v>
      </c>
      <c r="J122">
        <v>120</v>
      </c>
      <c r="K122">
        <v>45</v>
      </c>
      <c r="L122">
        <v>1</v>
      </c>
    </row>
    <row r="123" spans="1:12">
      <c r="A123">
        <v>1</v>
      </c>
      <c r="B123">
        <v>47</v>
      </c>
      <c r="C123">
        <v>12</v>
      </c>
      <c r="D123">
        <v>1</v>
      </c>
      <c r="E123">
        <v>0</v>
      </c>
      <c r="F123">
        <v>19</v>
      </c>
      <c r="G123">
        <v>12</v>
      </c>
      <c r="H123">
        <v>0</v>
      </c>
      <c r="I123">
        <v>1</v>
      </c>
      <c r="J123">
        <v>132</v>
      </c>
      <c r="K123">
        <v>47</v>
      </c>
      <c r="L123">
        <v>2</v>
      </c>
    </row>
    <row r="124" spans="1:12">
      <c r="A124">
        <v>0</v>
      </c>
      <c r="B124">
        <v>47</v>
      </c>
      <c r="C124">
        <v>10</v>
      </c>
      <c r="D124">
        <v>0</v>
      </c>
      <c r="E124">
        <v>1</v>
      </c>
      <c r="F124">
        <v>23</v>
      </c>
      <c r="G124">
        <v>15</v>
      </c>
      <c r="H124">
        <v>1</v>
      </c>
      <c r="I124">
        <v>3</v>
      </c>
      <c r="J124">
        <v>115</v>
      </c>
      <c r="K124">
        <v>29</v>
      </c>
      <c r="L124">
        <v>1</v>
      </c>
    </row>
    <row r="125" spans="1:12">
      <c r="A125">
        <v>0</v>
      </c>
      <c r="B125">
        <v>47</v>
      </c>
      <c r="C125">
        <v>11</v>
      </c>
      <c r="D125">
        <v>0</v>
      </c>
      <c r="E125">
        <v>0</v>
      </c>
      <c r="F125">
        <v>23</v>
      </c>
      <c r="G125">
        <v>13</v>
      </c>
      <c r="H125">
        <v>0</v>
      </c>
      <c r="I125">
        <v>2</v>
      </c>
      <c r="J125">
        <v>125</v>
      </c>
      <c r="K125">
        <v>47</v>
      </c>
      <c r="L125">
        <v>1</v>
      </c>
    </row>
    <row r="126" spans="1:12">
      <c r="A126">
        <v>0</v>
      </c>
      <c r="B126">
        <v>47</v>
      </c>
      <c r="C126">
        <v>17</v>
      </c>
      <c r="D126">
        <v>3</v>
      </c>
      <c r="E126">
        <v>0</v>
      </c>
      <c r="F126">
        <v>21</v>
      </c>
      <c r="G126">
        <v>12</v>
      </c>
      <c r="H126">
        <v>1</v>
      </c>
      <c r="I126">
        <v>5</v>
      </c>
      <c r="J126">
        <v>120</v>
      </c>
      <c r="K126">
        <v>39</v>
      </c>
      <c r="L126">
        <v>2</v>
      </c>
    </row>
    <row r="127" spans="1:12">
      <c r="A127">
        <v>1</v>
      </c>
      <c r="B127">
        <v>46</v>
      </c>
      <c r="C127">
        <v>10</v>
      </c>
      <c r="D127">
        <v>0</v>
      </c>
      <c r="E127">
        <v>1</v>
      </c>
      <c r="F127">
        <v>27</v>
      </c>
      <c r="G127">
        <v>15</v>
      </c>
      <c r="H127">
        <v>1</v>
      </c>
      <c r="I127">
        <v>11</v>
      </c>
      <c r="J127">
        <v>155</v>
      </c>
      <c r="K127">
        <v>46</v>
      </c>
      <c r="L127">
        <v>4</v>
      </c>
    </row>
    <row r="128" spans="1:12">
      <c r="A128">
        <v>0</v>
      </c>
      <c r="B128">
        <v>46</v>
      </c>
      <c r="C128">
        <v>12</v>
      </c>
      <c r="D128">
        <v>1</v>
      </c>
      <c r="E128">
        <v>1</v>
      </c>
      <c r="F128">
        <v>19</v>
      </c>
      <c r="G128">
        <v>11</v>
      </c>
      <c r="H128">
        <v>0</v>
      </c>
      <c r="I128">
        <v>3</v>
      </c>
      <c r="J128">
        <v>170</v>
      </c>
      <c r="K128">
        <v>45</v>
      </c>
      <c r="L128">
        <v>1</v>
      </c>
    </row>
    <row r="129" spans="1:12">
      <c r="A129">
        <v>0</v>
      </c>
      <c r="B129">
        <v>46</v>
      </c>
      <c r="C129">
        <v>14</v>
      </c>
      <c r="D129">
        <v>2</v>
      </c>
      <c r="E129">
        <v>0</v>
      </c>
      <c r="F129">
        <v>26</v>
      </c>
      <c r="G129">
        <v>13</v>
      </c>
      <c r="H129">
        <v>0</v>
      </c>
      <c r="I129">
        <v>7</v>
      </c>
      <c r="J129">
        <v>180</v>
      </c>
      <c r="K129">
        <v>46</v>
      </c>
      <c r="L129">
        <v>1</v>
      </c>
    </row>
    <row r="130" spans="1:12">
      <c r="A130">
        <v>0</v>
      </c>
      <c r="B130">
        <v>46</v>
      </c>
      <c r="C130">
        <v>8</v>
      </c>
      <c r="D130">
        <v>0</v>
      </c>
      <c r="E130">
        <v>0</v>
      </c>
      <c r="F130">
        <v>15</v>
      </c>
      <c r="G130">
        <v>13</v>
      </c>
      <c r="H130">
        <v>0</v>
      </c>
      <c r="I130">
        <v>1</v>
      </c>
      <c r="J130">
        <v>179</v>
      </c>
      <c r="K130">
        <v>40</v>
      </c>
      <c r="L130">
        <v>1</v>
      </c>
    </row>
    <row r="131" spans="1:12">
      <c r="A131">
        <v>1</v>
      </c>
      <c r="B131">
        <v>46</v>
      </c>
      <c r="C131">
        <v>12</v>
      </c>
      <c r="D131">
        <v>1</v>
      </c>
      <c r="E131">
        <v>0</v>
      </c>
      <c r="F131">
        <v>27</v>
      </c>
      <c r="G131">
        <v>12</v>
      </c>
      <c r="H131">
        <v>4</v>
      </c>
      <c r="I131">
        <v>4</v>
      </c>
      <c r="J131">
        <v>137</v>
      </c>
      <c r="K131">
        <v>46</v>
      </c>
      <c r="L131">
        <v>1</v>
      </c>
    </row>
    <row r="132" spans="1:12">
      <c r="A132">
        <v>0</v>
      </c>
      <c r="B132">
        <v>46</v>
      </c>
      <c r="C132">
        <v>12</v>
      </c>
      <c r="D132">
        <v>1</v>
      </c>
      <c r="E132">
        <v>1</v>
      </c>
      <c r="F132">
        <v>23</v>
      </c>
      <c r="G132">
        <v>12</v>
      </c>
      <c r="H132">
        <v>0</v>
      </c>
      <c r="I132">
        <v>4</v>
      </c>
      <c r="J132">
        <v>107</v>
      </c>
      <c r="K132">
        <v>46</v>
      </c>
      <c r="L132">
        <v>1</v>
      </c>
    </row>
    <row r="133" spans="1:12">
      <c r="A133">
        <v>0</v>
      </c>
      <c r="B133">
        <v>46</v>
      </c>
      <c r="C133">
        <v>12</v>
      </c>
      <c r="D133">
        <v>1</v>
      </c>
      <c r="E133">
        <v>0</v>
      </c>
      <c r="F133">
        <v>22</v>
      </c>
      <c r="G133">
        <v>11</v>
      </c>
      <c r="H133">
        <v>0</v>
      </c>
      <c r="I133">
        <v>6</v>
      </c>
      <c r="J133">
        <v>144</v>
      </c>
      <c r="K133">
        <v>46</v>
      </c>
      <c r="L133">
        <v>2</v>
      </c>
    </row>
    <row r="134" spans="1:12">
      <c r="A134">
        <v>0</v>
      </c>
      <c r="B134">
        <v>46</v>
      </c>
      <c r="C134">
        <v>11</v>
      </c>
      <c r="D134">
        <v>0</v>
      </c>
      <c r="E134">
        <v>0</v>
      </c>
      <c r="F134">
        <v>17</v>
      </c>
      <c r="G134">
        <v>13</v>
      </c>
      <c r="H134">
        <v>0</v>
      </c>
      <c r="I134">
        <v>3</v>
      </c>
      <c r="J134">
        <v>189</v>
      </c>
      <c r="K134">
        <v>39</v>
      </c>
      <c r="L134">
        <v>1</v>
      </c>
    </row>
    <row r="135" spans="1:12">
      <c r="A135">
        <v>1</v>
      </c>
      <c r="B135">
        <v>45</v>
      </c>
      <c r="C135">
        <v>12</v>
      </c>
      <c r="D135">
        <v>1</v>
      </c>
      <c r="E135">
        <v>0</v>
      </c>
      <c r="F135">
        <v>33</v>
      </c>
      <c r="G135">
        <v>14</v>
      </c>
      <c r="H135">
        <v>0</v>
      </c>
      <c r="I135">
        <v>2</v>
      </c>
      <c r="J135">
        <v>80</v>
      </c>
      <c r="K135">
        <v>45</v>
      </c>
      <c r="L135">
        <v>1</v>
      </c>
    </row>
    <row r="136" spans="1:12">
      <c r="A136">
        <v>0</v>
      </c>
      <c r="B136">
        <v>45</v>
      </c>
      <c r="C136">
        <v>12</v>
      </c>
      <c r="D136">
        <v>1</v>
      </c>
      <c r="E136">
        <v>0</v>
      </c>
      <c r="F136">
        <v>25</v>
      </c>
      <c r="G136">
        <v>13</v>
      </c>
      <c r="H136">
        <v>1</v>
      </c>
      <c r="I136">
        <v>1</v>
      </c>
      <c r="J136">
        <v>142</v>
      </c>
      <c r="K136">
        <v>38</v>
      </c>
      <c r="L136">
        <v>1</v>
      </c>
    </row>
    <row r="137" spans="1:12">
      <c r="A137">
        <v>0</v>
      </c>
      <c r="B137">
        <v>45</v>
      </c>
      <c r="C137">
        <v>8</v>
      </c>
      <c r="D137">
        <v>0</v>
      </c>
      <c r="E137">
        <v>1</v>
      </c>
      <c r="F137">
        <v>20</v>
      </c>
      <c r="G137">
        <v>11</v>
      </c>
      <c r="H137">
        <v>1</v>
      </c>
      <c r="I137">
        <v>1</v>
      </c>
      <c r="J137">
        <v>150</v>
      </c>
      <c r="K137">
        <v>45</v>
      </c>
      <c r="L137">
        <v>1</v>
      </c>
    </row>
    <row r="138" spans="1:12">
      <c r="A138">
        <v>0</v>
      </c>
      <c r="B138">
        <v>45</v>
      </c>
      <c r="C138">
        <v>13</v>
      </c>
      <c r="D138">
        <v>1</v>
      </c>
      <c r="E138">
        <v>0</v>
      </c>
      <c r="F138">
        <v>22</v>
      </c>
      <c r="G138">
        <v>11</v>
      </c>
      <c r="H138">
        <v>0</v>
      </c>
      <c r="I138">
        <v>3</v>
      </c>
      <c r="J138">
        <v>154</v>
      </c>
      <c r="K138">
        <v>46</v>
      </c>
      <c r="L138">
        <v>1</v>
      </c>
    </row>
    <row r="139" spans="1:12">
      <c r="A139">
        <v>0</v>
      </c>
      <c r="B139">
        <v>45</v>
      </c>
      <c r="C139">
        <v>12</v>
      </c>
      <c r="D139">
        <v>1</v>
      </c>
      <c r="E139">
        <v>1</v>
      </c>
      <c r="F139">
        <v>23</v>
      </c>
      <c r="G139">
        <v>11</v>
      </c>
      <c r="H139">
        <v>0</v>
      </c>
      <c r="I139">
        <v>2</v>
      </c>
      <c r="J139">
        <v>150</v>
      </c>
      <c r="K139">
        <v>45</v>
      </c>
      <c r="L139">
        <v>1</v>
      </c>
    </row>
    <row r="140" spans="1:12">
      <c r="A140">
        <v>0</v>
      </c>
      <c r="B140">
        <v>45</v>
      </c>
      <c r="C140">
        <v>12</v>
      </c>
      <c r="D140">
        <v>1</v>
      </c>
      <c r="E140">
        <v>0</v>
      </c>
      <c r="F140">
        <v>20</v>
      </c>
      <c r="G140">
        <v>12</v>
      </c>
      <c r="H140">
        <v>0</v>
      </c>
      <c r="I140">
        <v>1</v>
      </c>
      <c r="J140">
        <v>102</v>
      </c>
      <c r="K140">
        <v>28</v>
      </c>
      <c r="L140">
        <v>1</v>
      </c>
    </row>
    <row r="141" spans="1:12">
      <c r="A141">
        <v>0</v>
      </c>
      <c r="B141">
        <v>45</v>
      </c>
      <c r="C141">
        <v>19</v>
      </c>
      <c r="D141">
        <v>4</v>
      </c>
      <c r="E141">
        <v>0</v>
      </c>
      <c r="F141">
        <v>30</v>
      </c>
      <c r="G141">
        <v>12</v>
      </c>
      <c r="H141">
        <v>0</v>
      </c>
      <c r="I141">
        <v>3</v>
      </c>
      <c r="J141">
        <v>110</v>
      </c>
      <c r="K141">
        <v>45</v>
      </c>
      <c r="L141">
        <v>1</v>
      </c>
    </row>
    <row r="142" spans="1:12">
      <c r="A142">
        <v>1</v>
      </c>
      <c r="B142">
        <v>45</v>
      </c>
      <c r="C142">
        <v>12</v>
      </c>
      <c r="D142">
        <v>1</v>
      </c>
      <c r="E142">
        <v>0</v>
      </c>
      <c r="F142">
        <v>18</v>
      </c>
      <c r="G142">
        <v>15</v>
      </c>
      <c r="H142">
        <v>4</v>
      </c>
      <c r="I142">
        <v>4</v>
      </c>
      <c r="J142">
        <v>101</v>
      </c>
      <c r="K142">
        <v>45</v>
      </c>
      <c r="L142">
        <v>1</v>
      </c>
    </row>
    <row r="143" spans="1:12">
      <c r="A143">
        <v>0</v>
      </c>
      <c r="B143">
        <v>45</v>
      </c>
      <c r="C143">
        <v>12</v>
      </c>
      <c r="D143">
        <v>1</v>
      </c>
      <c r="E143">
        <v>1</v>
      </c>
      <c r="F143">
        <v>22</v>
      </c>
      <c r="G143">
        <v>17</v>
      </c>
      <c r="H143">
        <v>1</v>
      </c>
      <c r="I143">
        <v>2</v>
      </c>
      <c r="J143">
        <v>109</v>
      </c>
      <c r="K143">
        <v>40</v>
      </c>
      <c r="L143">
        <v>1</v>
      </c>
    </row>
    <row r="144" spans="1:12">
      <c r="A144">
        <v>0</v>
      </c>
      <c r="B144">
        <v>45</v>
      </c>
      <c r="C144">
        <v>13</v>
      </c>
      <c r="D144">
        <v>1</v>
      </c>
      <c r="E144">
        <v>1</v>
      </c>
      <c r="F144">
        <v>30</v>
      </c>
      <c r="G144">
        <v>13</v>
      </c>
      <c r="H144">
        <v>0</v>
      </c>
      <c r="I144">
        <v>2</v>
      </c>
      <c r="J144">
        <v>210</v>
      </c>
      <c r="K144">
        <v>40</v>
      </c>
      <c r="L144">
        <v>1</v>
      </c>
    </row>
    <row r="145" spans="1:12">
      <c r="A145">
        <v>0</v>
      </c>
      <c r="B145">
        <v>45</v>
      </c>
      <c r="C145">
        <v>12</v>
      </c>
      <c r="D145">
        <v>1</v>
      </c>
      <c r="E145">
        <v>0</v>
      </c>
      <c r="F145">
        <v>22</v>
      </c>
      <c r="G145">
        <v>10</v>
      </c>
      <c r="H145">
        <v>0</v>
      </c>
      <c r="I145">
        <v>5</v>
      </c>
      <c r="J145">
        <v>198</v>
      </c>
      <c r="K145">
        <v>33</v>
      </c>
      <c r="L145">
        <v>1</v>
      </c>
    </row>
    <row r="146" spans="1:12">
      <c r="A146">
        <v>1</v>
      </c>
      <c r="B146">
        <v>45</v>
      </c>
      <c r="C146">
        <v>17</v>
      </c>
      <c r="D146">
        <v>4</v>
      </c>
      <c r="E146">
        <v>0</v>
      </c>
      <c r="F146">
        <v>25</v>
      </c>
      <c r="G146">
        <v>16</v>
      </c>
      <c r="H146">
        <v>1</v>
      </c>
      <c r="I146">
        <v>4</v>
      </c>
      <c r="J146">
        <v>124</v>
      </c>
      <c r="K146">
        <v>45</v>
      </c>
      <c r="L146">
        <v>1</v>
      </c>
    </row>
    <row r="147" spans="1:12">
      <c r="A147">
        <v>0</v>
      </c>
      <c r="B147">
        <v>45</v>
      </c>
      <c r="C147">
        <v>12</v>
      </c>
      <c r="D147">
        <v>1</v>
      </c>
      <c r="E147">
        <v>1</v>
      </c>
      <c r="F147">
        <v>23</v>
      </c>
      <c r="G147">
        <v>12</v>
      </c>
      <c r="H147">
        <v>3</v>
      </c>
      <c r="I147">
        <v>3</v>
      </c>
      <c r="J147">
        <v>133</v>
      </c>
      <c r="K147">
        <v>45</v>
      </c>
      <c r="L147">
        <v>1</v>
      </c>
    </row>
    <row r="148" spans="1:12">
      <c r="A148">
        <v>0</v>
      </c>
      <c r="B148">
        <v>45</v>
      </c>
      <c r="C148">
        <v>16</v>
      </c>
      <c r="D148">
        <v>3</v>
      </c>
      <c r="E148">
        <v>0</v>
      </c>
      <c r="F148">
        <v>23</v>
      </c>
      <c r="G148">
        <v>13</v>
      </c>
      <c r="H148">
        <v>0</v>
      </c>
      <c r="I148">
        <v>3</v>
      </c>
      <c r="J148">
        <v>120</v>
      </c>
      <c r="K148">
        <v>46</v>
      </c>
      <c r="L148">
        <v>1</v>
      </c>
    </row>
    <row r="149" spans="1:12">
      <c r="A149">
        <v>0</v>
      </c>
      <c r="B149">
        <v>45</v>
      </c>
      <c r="C149">
        <v>14</v>
      </c>
      <c r="D149">
        <v>1</v>
      </c>
      <c r="E149">
        <v>1</v>
      </c>
      <c r="F149">
        <v>23</v>
      </c>
      <c r="G149">
        <v>12</v>
      </c>
      <c r="H149">
        <v>0</v>
      </c>
      <c r="I149">
        <v>4</v>
      </c>
      <c r="J149">
        <v>165</v>
      </c>
      <c r="K149">
        <v>35</v>
      </c>
      <c r="L149">
        <v>1</v>
      </c>
    </row>
    <row r="150" spans="1:12">
      <c r="A150">
        <v>1</v>
      </c>
      <c r="B150">
        <v>44</v>
      </c>
      <c r="C150">
        <v>16</v>
      </c>
      <c r="D150">
        <v>3</v>
      </c>
      <c r="E150">
        <v>0</v>
      </c>
      <c r="F150">
        <v>25</v>
      </c>
      <c r="G150">
        <v>12</v>
      </c>
      <c r="H150">
        <v>0</v>
      </c>
      <c r="I150">
        <v>3</v>
      </c>
      <c r="J150">
        <v>130</v>
      </c>
      <c r="K150">
        <v>44</v>
      </c>
      <c r="L150">
        <v>1</v>
      </c>
    </row>
    <row r="151" spans="1:12">
      <c r="A151">
        <v>0</v>
      </c>
      <c r="B151">
        <v>44</v>
      </c>
      <c r="C151">
        <v>18</v>
      </c>
      <c r="D151">
        <v>4</v>
      </c>
      <c r="E151">
        <v>0</v>
      </c>
      <c r="F151">
        <v>27</v>
      </c>
      <c r="G151">
        <v>13</v>
      </c>
      <c r="H151">
        <v>1</v>
      </c>
      <c r="I151">
        <v>3</v>
      </c>
      <c r="J151">
        <v>240</v>
      </c>
      <c r="K151">
        <v>45</v>
      </c>
      <c r="L151">
        <v>1</v>
      </c>
    </row>
    <row r="152" spans="1:12">
      <c r="A152">
        <v>0</v>
      </c>
      <c r="B152">
        <v>44</v>
      </c>
      <c r="C152">
        <v>12</v>
      </c>
      <c r="D152">
        <v>1</v>
      </c>
      <c r="E152">
        <v>0</v>
      </c>
      <c r="F152">
        <v>27</v>
      </c>
      <c r="G152">
        <v>14</v>
      </c>
      <c r="H152">
        <v>0</v>
      </c>
      <c r="I152">
        <v>1</v>
      </c>
      <c r="J152">
        <v>125</v>
      </c>
      <c r="K152">
        <v>44</v>
      </c>
      <c r="L152">
        <v>1</v>
      </c>
    </row>
    <row r="153" spans="1:12">
      <c r="A153">
        <v>1</v>
      </c>
      <c r="B153">
        <v>44</v>
      </c>
      <c r="C153">
        <v>12</v>
      </c>
      <c r="D153">
        <v>1</v>
      </c>
      <c r="E153">
        <v>0</v>
      </c>
      <c r="F153">
        <v>24</v>
      </c>
      <c r="G153">
        <v>15</v>
      </c>
      <c r="H153">
        <v>0</v>
      </c>
      <c r="I153">
        <v>1</v>
      </c>
      <c r="J153">
        <v>130</v>
      </c>
      <c r="K153">
        <v>44</v>
      </c>
      <c r="L153">
        <v>1</v>
      </c>
    </row>
    <row r="154" spans="1:12">
      <c r="A154">
        <v>0</v>
      </c>
      <c r="B154">
        <v>44</v>
      </c>
      <c r="C154">
        <v>12</v>
      </c>
      <c r="D154">
        <v>1</v>
      </c>
      <c r="E154">
        <v>1</v>
      </c>
      <c r="F154">
        <v>22</v>
      </c>
      <c r="G154">
        <v>15</v>
      </c>
      <c r="H154">
        <v>0</v>
      </c>
      <c r="I154">
        <v>1</v>
      </c>
      <c r="J154">
        <v>105</v>
      </c>
      <c r="K154">
        <v>44</v>
      </c>
      <c r="L154">
        <v>4</v>
      </c>
    </row>
    <row r="155" spans="1:12">
      <c r="A155">
        <v>0</v>
      </c>
      <c r="B155">
        <v>44</v>
      </c>
      <c r="C155">
        <v>12</v>
      </c>
      <c r="D155">
        <v>1</v>
      </c>
      <c r="E155">
        <v>0</v>
      </c>
      <c r="F155">
        <v>23</v>
      </c>
      <c r="G155">
        <v>12</v>
      </c>
      <c r="H155">
        <v>0</v>
      </c>
      <c r="I155">
        <v>5</v>
      </c>
      <c r="J155">
        <v>123</v>
      </c>
      <c r="K155">
        <v>33</v>
      </c>
      <c r="L155">
        <v>1</v>
      </c>
    </row>
    <row r="156" spans="1:12">
      <c r="A156">
        <v>0</v>
      </c>
      <c r="B156">
        <v>44</v>
      </c>
      <c r="C156">
        <v>12</v>
      </c>
      <c r="D156">
        <v>1</v>
      </c>
      <c r="E156">
        <v>1</v>
      </c>
      <c r="F156">
        <v>18</v>
      </c>
      <c r="G156">
        <v>17</v>
      </c>
      <c r="H156">
        <v>1</v>
      </c>
      <c r="I156">
        <v>7</v>
      </c>
      <c r="J156">
        <v>180</v>
      </c>
      <c r="K156">
        <v>44</v>
      </c>
      <c r="L156">
        <v>1</v>
      </c>
    </row>
    <row r="157" spans="1:12">
      <c r="A157">
        <v>1</v>
      </c>
      <c r="B157">
        <v>43</v>
      </c>
      <c r="C157">
        <v>16</v>
      </c>
      <c r="D157">
        <v>3</v>
      </c>
      <c r="E157">
        <v>0</v>
      </c>
      <c r="F157">
        <v>27</v>
      </c>
      <c r="G157">
        <v>15</v>
      </c>
      <c r="H157">
        <v>0</v>
      </c>
      <c r="I157">
        <v>2</v>
      </c>
      <c r="J157">
        <v>130</v>
      </c>
      <c r="K157">
        <v>43</v>
      </c>
      <c r="L157">
        <v>4</v>
      </c>
    </row>
    <row r="158" spans="1:12">
      <c r="A158">
        <v>0</v>
      </c>
      <c r="B158">
        <v>43</v>
      </c>
      <c r="C158">
        <v>16</v>
      </c>
      <c r="D158">
        <v>3</v>
      </c>
      <c r="E158">
        <v>0</v>
      </c>
      <c r="F158">
        <v>31</v>
      </c>
      <c r="G158">
        <v>12</v>
      </c>
      <c r="H158">
        <v>0</v>
      </c>
      <c r="I158">
        <v>1</v>
      </c>
      <c r="J158">
        <v>104</v>
      </c>
      <c r="K158">
        <v>43</v>
      </c>
      <c r="L158">
        <v>1</v>
      </c>
    </row>
    <row r="159" spans="1:12">
      <c r="A159">
        <v>0</v>
      </c>
      <c r="B159">
        <v>43</v>
      </c>
      <c r="C159">
        <v>12</v>
      </c>
      <c r="D159">
        <v>1</v>
      </c>
      <c r="E159">
        <v>0</v>
      </c>
      <c r="F159">
        <v>14</v>
      </c>
      <c r="G159">
        <v>12</v>
      </c>
      <c r="H159">
        <v>1</v>
      </c>
      <c r="I159">
        <v>2</v>
      </c>
      <c r="J159">
        <v>158</v>
      </c>
      <c r="K159">
        <v>21</v>
      </c>
      <c r="L159">
        <v>1</v>
      </c>
    </row>
    <row r="160" spans="1:12">
      <c r="A160">
        <v>0</v>
      </c>
      <c r="B160">
        <v>43</v>
      </c>
      <c r="C160">
        <v>12</v>
      </c>
      <c r="D160">
        <v>1</v>
      </c>
      <c r="E160">
        <v>0</v>
      </c>
      <c r="F160">
        <v>20</v>
      </c>
      <c r="G160">
        <v>14</v>
      </c>
      <c r="H160">
        <v>0</v>
      </c>
      <c r="I160">
        <v>6</v>
      </c>
      <c r="J160">
        <v>160</v>
      </c>
      <c r="K160">
        <v>39</v>
      </c>
      <c r="L160">
        <v>1</v>
      </c>
    </row>
    <row r="161" spans="1:12">
      <c r="A161">
        <v>0</v>
      </c>
      <c r="B161">
        <v>27</v>
      </c>
      <c r="C161">
        <v>11</v>
      </c>
      <c r="D161">
        <v>0</v>
      </c>
      <c r="E161">
        <v>1</v>
      </c>
      <c r="F161">
        <v>22</v>
      </c>
      <c r="G161">
        <v>12</v>
      </c>
      <c r="H161">
        <v>0</v>
      </c>
      <c r="I161">
        <v>1</v>
      </c>
      <c r="J161">
        <v>127</v>
      </c>
      <c r="K161">
        <v>27</v>
      </c>
      <c r="L161">
        <v>1</v>
      </c>
    </row>
    <row r="162" spans="1:12">
      <c r="A162">
        <v>0</v>
      </c>
      <c r="B162">
        <v>28</v>
      </c>
      <c r="C162">
        <v>12</v>
      </c>
      <c r="D162">
        <v>1</v>
      </c>
      <c r="E162">
        <v>1</v>
      </c>
      <c r="F162">
        <v>20</v>
      </c>
      <c r="G162">
        <v>11</v>
      </c>
      <c r="H162">
        <v>0</v>
      </c>
      <c r="I162">
        <v>2</v>
      </c>
      <c r="J162">
        <v>145</v>
      </c>
      <c r="K162">
        <v>27</v>
      </c>
      <c r="L162">
        <v>1</v>
      </c>
    </row>
    <row r="163" spans="1:12">
      <c r="A163">
        <v>0</v>
      </c>
      <c r="B163">
        <v>28</v>
      </c>
      <c r="C163">
        <v>12</v>
      </c>
      <c r="D163">
        <v>1</v>
      </c>
      <c r="E163">
        <v>0</v>
      </c>
      <c r="F163">
        <v>23</v>
      </c>
      <c r="G163">
        <v>16</v>
      </c>
      <c r="H163">
        <v>0</v>
      </c>
      <c r="I163">
        <v>2</v>
      </c>
      <c r="J163">
        <v>127</v>
      </c>
      <c r="K163">
        <v>29</v>
      </c>
      <c r="L163">
        <v>1</v>
      </c>
    </row>
    <row r="164" spans="1:12">
      <c r="A164">
        <v>1</v>
      </c>
      <c r="B164">
        <v>53</v>
      </c>
      <c r="C164">
        <v>16</v>
      </c>
      <c r="D164">
        <v>3</v>
      </c>
      <c r="E164">
        <v>0</v>
      </c>
      <c r="F164">
        <v>29</v>
      </c>
      <c r="G164">
        <v>12</v>
      </c>
      <c r="H164">
        <v>0</v>
      </c>
      <c r="I164">
        <v>4</v>
      </c>
      <c r="J164">
        <v>132</v>
      </c>
      <c r="K164">
        <v>50</v>
      </c>
      <c r="L164">
        <v>1</v>
      </c>
    </row>
    <row r="165" spans="1:12">
      <c r="A165">
        <v>0</v>
      </c>
      <c r="B165">
        <v>53</v>
      </c>
      <c r="C165">
        <v>12</v>
      </c>
      <c r="D165">
        <v>1</v>
      </c>
      <c r="E165">
        <v>0</v>
      </c>
      <c r="F165">
        <v>28</v>
      </c>
      <c r="G165">
        <v>11</v>
      </c>
      <c r="H165">
        <v>0</v>
      </c>
      <c r="I165">
        <v>3</v>
      </c>
      <c r="J165">
        <v>140</v>
      </c>
      <c r="K165">
        <v>49</v>
      </c>
      <c r="L165">
        <v>1</v>
      </c>
    </row>
    <row r="166" spans="1:12">
      <c r="A166">
        <v>0</v>
      </c>
      <c r="B166">
        <v>53</v>
      </c>
      <c r="C166">
        <v>11</v>
      </c>
      <c r="D166">
        <v>0</v>
      </c>
      <c r="E166">
        <v>0</v>
      </c>
      <c r="F166">
        <v>26</v>
      </c>
      <c r="G166">
        <v>11</v>
      </c>
      <c r="H166">
        <v>0</v>
      </c>
      <c r="I166">
        <v>1</v>
      </c>
      <c r="J166">
        <v>130</v>
      </c>
      <c r="K166">
        <v>49</v>
      </c>
      <c r="L166">
        <v>4</v>
      </c>
    </row>
    <row r="167" spans="1:12">
      <c r="A167">
        <v>1</v>
      </c>
      <c r="B167">
        <v>56</v>
      </c>
      <c r="C167">
        <v>12</v>
      </c>
      <c r="D167">
        <v>1</v>
      </c>
      <c r="E167">
        <v>0</v>
      </c>
      <c r="F167">
        <v>21</v>
      </c>
      <c r="G167">
        <v>17</v>
      </c>
      <c r="H167">
        <v>1</v>
      </c>
      <c r="I167">
        <v>6</v>
      </c>
      <c r="J167">
        <v>130</v>
      </c>
      <c r="K167">
        <v>47</v>
      </c>
      <c r="L167">
        <v>1</v>
      </c>
    </row>
    <row r="168" spans="1:12">
      <c r="A168">
        <v>0</v>
      </c>
      <c r="B168">
        <v>56</v>
      </c>
      <c r="C168">
        <v>12</v>
      </c>
      <c r="D168">
        <v>1</v>
      </c>
      <c r="E168">
        <v>1</v>
      </c>
      <c r="F168">
        <v>27</v>
      </c>
      <c r="G168">
        <v>11</v>
      </c>
      <c r="H168">
        <v>0</v>
      </c>
      <c r="I168">
        <v>4</v>
      </c>
      <c r="J168">
        <v>265</v>
      </c>
      <c r="K168">
        <v>42</v>
      </c>
      <c r="L168">
        <v>1</v>
      </c>
    </row>
    <row r="169" spans="1:12">
      <c r="A169">
        <v>0</v>
      </c>
      <c r="B169">
        <v>56</v>
      </c>
      <c r="C169">
        <v>16</v>
      </c>
      <c r="D169">
        <v>3</v>
      </c>
      <c r="E169">
        <v>0</v>
      </c>
      <c r="F169">
        <v>26</v>
      </c>
      <c r="G169">
        <v>13</v>
      </c>
      <c r="H169">
        <v>0</v>
      </c>
      <c r="I169">
        <v>4</v>
      </c>
      <c r="J169">
        <v>195</v>
      </c>
      <c r="K169">
        <v>50</v>
      </c>
      <c r="L169">
        <v>1</v>
      </c>
    </row>
    <row r="170" spans="1:12">
      <c r="A170">
        <v>0</v>
      </c>
      <c r="B170">
        <v>56</v>
      </c>
      <c r="C170">
        <v>12</v>
      </c>
      <c r="D170">
        <v>1</v>
      </c>
      <c r="E170">
        <v>1</v>
      </c>
      <c r="F170">
        <v>25</v>
      </c>
      <c r="G170">
        <v>12</v>
      </c>
      <c r="H170">
        <v>2</v>
      </c>
      <c r="I170">
        <v>2</v>
      </c>
      <c r="J170">
        <v>125</v>
      </c>
      <c r="K170">
        <v>47</v>
      </c>
      <c r="L170">
        <v>1</v>
      </c>
    </row>
    <row r="171" spans="1:12">
      <c r="A171">
        <v>1</v>
      </c>
      <c r="B171">
        <v>41</v>
      </c>
      <c r="C171">
        <v>12</v>
      </c>
      <c r="D171">
        <v>1</v>
      </c>
      <c r="E171">
        <v>0</v>
      </c>
      <c r="F171">
        <v>25</v>
      </c>
      <c r="G171">
        <v>16</v>
      </c>
      <c r="H171">
        <v>1</v>
      </c>
      <c r="I171">
        <v>3</v>
      </c>
      <c r="J171">
        <v>105</v>
      </c>
      <c r="K171">
        <v>27</v>
      </c>
      <c r="L171">
        <v>3</v>
      </c>
    </row>
    <row r="172" spans="1:12">
      <c r="A172">
        <v>0</v>
      </c>
      <c r="B172">
        <v>41</v>
      </c>
      <c r="C172">
        <v>12</v>
      </c>
      <c r="D172">
        <v>1</v>
      </c>
      <c r="E172">
        <v>0</v>
      </c>
      <c r="F172">
        <v>20</v>
      </c>
      <c r="G172">
        <v>13</v>
      </c>
      <c r="H172">
        <v>1</v>
      </c>
      <c r="I172">
        <v>4</v>
      </c>
      <c r="J172">
        <v>161</v>
      </c>
      <c r="K172">
        <v>31</v>
      </c>
      <c r="L172">
        <v>4</v>
      </c>
    </row>
    <row r="173" spans="1:12">
      <c r="A173">
        <v>0</v>
      </c>
      <c r="B173">
        <v>41</v>
      </c>
      <c r="C173">
        <v>12</v>
      </c>
      <c r="D173">
        <v>1</v>
      </c>
      <c r="E173">
        <v>1</v>
      </c>
      <c r="F173">
        <v>21</v>
      </c>
      <c r="G173">
        <v>14</v>
      </c>
      <c r="H173">
        <v>0</v>
      </c>
      <c r="I173">
        <v>5</v>
      </c>
      <c r="J173">
        <v>135</v>
      </c>
      <c r="K173">
        <v>36</v>
      </c>
      <c r="L173">
        <v>2</v>
      </c>
    </row>
    <row r="174" spans="1:12">
      <c r="A174">
        <v>0</v>
      </c>
      <c r="B174">
        <v>41</v>
      </c>
      <c r="C174">
        <v>16</v>
      </c>
      <c r="D174">
        <v>3</v>
      </c>
      <c r="E174">
        <v>0</v>
      </c>
      <c r="F174">
        <v>22</v>
      </c>
      <c r="G174">
        <v>12</v>
      </c>
      <c r="H174">
        <v>0</v>
      </c>
      <c r="I174">
        <v>4</v>
      </c>
      <c r="J174">
        <v>185</v>
      </c>
      <c r="K174">
        <v>41</v>
      </c>
      <c r="L174">
        <v>2</v>
      </c>
    </row>
    <row r="175" spans="1:12">
      <c r="A175">
        <v>1</v>
      </c>
      <c r="B175">
        <v>41</v>
      </c>
      <c r="C175">
        <v>10</v>
      </c>
      <c r="D175">
        <v>0</v>
      </c>
      <c r="E175">
        <v>0</v>
      </c>
      <c r="F175">
        <v>40</v>
      </c>
      <c r="G175">
        <v>15</v>
      </c>
      <c r="H175">
        <v>0</v>
      </c>
      <c r="I175">
        <v>1</v>
      </c>
      <c r="J175">
        <v>115</v>
      </c>
      <c r="K175">
        <v>41</v>
      </c>
      <c r="L175">
        <v>1</v>
      </c>
    </row>
    <row r="176" spans="1:12">
      <c r="A176">
        <v>0</v>
      </c>
      <c r="B176">
        <v>41</v>
      </c>
      <c r="C176">
        <v>11</v>
      </c>
      <c r="D176">
        <v>0</v>
      </c>
      <c r="E176">
        <v>0</v>
      </c>
      <c r="F176">
        <v>21</v>
      </c>
      <c r="G176">
        <v>16</v>
      </c>
      <c r="H176">
        <v>0</v>
      </c>
      <c r="I176">
        <v>3</v>
      </c>
      <c r="J176">
        <v>140</v>
      </c>
      <c r="K176">
        <v>41</v>
      </c>
      <c r="L176">
        <v>1</v>
      </c>
    </row>
    <row r="177" spans="1:12">
      <c r="A177">
        <v>0</v>
      </c>
      <c r="B177">
        <v>40</v>
      </c>
      <c r="C177">
        <v>15</v>
      </c>
      <c r="D177">
        <v>1</v>
      </c>
      <c r="E177">
        <v>0</v>
      </c>
      <c r="F177">
        <v>21</v>
      </c>
      <c r="G177">
        <v>12</v>
      </c>
      <c r="H177">
        <v>0</v>
      </c>
      <c r="I177">
        <v>4</v>
      </c>
      <c r="J177">
        <v>145</v>
      </c>
      <c r="K177">
        <v>40</v>
      </c>
      <c r="L177">
        <v>1</v>
      </c>
    </row>
    <row r="178" spans="1:12">
      <c r="A178">
        <v>0</v>
      </c>
      <c r="B178">
        <v>41</v>
      </c>
      <c r="C178">
        <v>12</v>
      </c>
      <c r="D178">
        <v>1</v>
      </c>
      <c r="E178">
        <v>1</v>
      </c>
      <c r="F178">
        <v>26</v>
      </c>
      <c r="G178">
        <v>14</v>
      </c>
      <c r="H178">
        <v>2</v>
      </c>
      <c r="I178">
        <v>3</v>
      </c>
      <c r="J178">
        <v>195</v>
      </c>
      <c r="K178">
        <v>41</v>
      </c>
      <c r="L178">
        <v>1</v>
      </c>
    </row>
    <row r="179" spans="1:12">
      <c r="A179">
        <v>1</v>
      </c>
      <c r="B179">
        <v>41</v>
      </c>
      <c r="C179">
        <v>14</v>
      </c>
      <c r="D179">
        <v>1</v>
      </c>
      <c r="E179">
        <v>0</v>
      </c>
      <c r="F179">
        <v>34</v>
      </c>
      <c r="G179">
        <v>13</v>
      </c>
      <c r="H179">
        <v>1</v>
      </c>
      <c r="I179">
        <v>2</v>
      </c>
      <c r="J179">
        <v>138</v>
      </c>
      <c r="K179">
        <v>42</v>
      </c>
      <c r="L179">
        <v>1</v>
      </c>
    </row>
    <row r="180" spans="1:12">
      <c r="A180">
        <v>0</v>
      </c>
      <c r="B180">
        <v>41</v>
      </c>
      <c r="C180">
        <v>15</v>
      </c>
      <c r="D180">
        <v>1</v>
      </c>
      <c r="E180">
        <v>1</v>
      </c>
      <c r="F180">
        <v>30</v>
      </c>
      <c r="G180">
        <v>12</v>
      </c>
      <c r="H180">
        <v>1</v>
      </c>
      <c r="I180">
        <v>2</v>
      </c>
      <c r="J180">
        <v>129</v>
      </c>
      <c r="K180">
        <v>41</v>
      </c>
      <c r="L180">
        <v>1</v>
      </c>
    </row>
    <row r="181" spans="1:12">
      <c r="A181">
        <v>0</v>
      </c>
      <c r="B181">
        <v>41</v>
      </c>
      <c r="C181">
        <v>13</v>
      </c>
      <c r="D181">
        <v>1</v>
      </c>
      <c r="E181">
        <v>1</v>
      </c>
      <c r="F181">
        <v>21</v>
      </c>
      <c r="G181">
        <v>12</v>
      </c>
      <c r="H181">
        <v>0</v>
      </c>
      <c r="I181">
        <v>2</v>
      </c>
      <c r="J181">
        <v>180</v>
      </c>
      <c r="K181">
        <v>41</v>
      </c>
      <c r="L18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124</vt:i4>
      </vt:variant>
    </vt:vector>
  </HeadingPairs>
  <TitlesOfParts>
    <vt:vector size="124" baseType="lpstr">
      <vt:lpstr>56</vt:lpstr>
      <vt:lpstr>1_1</vt:lpstr>
      <vt:lpstr>1_3</vt:lpstr>
      <vt:lpstr>1_4</vt:lpstr>
      <vt:lpstr>1_5</vt:lpstr>
      <vt:lpstr>1_6</vt:lpstr>
      <vt:lpstr>2_4</vt:lpstr>
      <vt:lpstr>2_5</vt:lpstr>
      <vt:lpstr>2_6</vt:lpstr>
      <vt:lpstr>2_7</vt:lpstr>
      <vt:lpstr>2_8</vt:lpstr>
      <vt:lpstr>2_9_Prob</vt:lpstr>
      <vt:lpstr>2_10_Prob</vt:lpstr>
      <vt:lpstr>3_2</vt:lpstr>
      <vt:lpstr>3_3</vt:lpstr>
      <vt:lpstr>3_5</vt:lpstr>
      <vt:lpstr>3_6_Prob</vt:lpstr>
      <vt:lpstr>3_7</vt:lpstr>
      <vt:lpstr>3_8</vt:lpstr>
      <vt:lpstr>5_5</vt:lpstr>
      <vt:lpstr>5_6</vt:lpstr>
      <vt:lpstr>5_9_Prob</vt:lpstr>
      <vt:lpstr>5_10_Pending</vt:lpstr>
      <vt:lpstr>5_11</vt:lpstr>
      <vt:lpstr>6_1</vt:lpstr>
      <vt:lpstr>6_2</vt:lpstr>
      <vt:lpstr>6_3</vt:lpstr>
      <vt:lpstr>6_4</vt:lpstr>
      <vt:lpstr>6_5</vt:lpstr>
      <vt:lpstr>6_7</vt:lpstr>
      <vt:lpstr>6_8</vt:lpstr>
      <vt:lpstr>6_9</vt:lpstr>
      <vt:lpstr>6_10</vt:lpstr>
      <vt:lpstr>7_1</vt:lpstr>
      <vt:lpstr>7_3_Scan</vt:lpstr>
      <vt:lpstr>7_4</vt:lpstr>
      <vt:lpstr>7_5</vt:lpstr>
      <vt:lpstr>7_6_Scan</vt:lpstr>
      <vt:lpstr>7_7</vt:lpstr>
      <vt:lpstr>7_8</vt:lpstr>
      <vt:lpstr>7_9</vt:lpstr>
      <vt:lpstr>7_10</vt:lpstr>
      <vt:lpstr>7_11</vt:lpstr>
      <vt:lpstr>7_12</vt:lpstr>
      <vt:lpstr>7_13</vt:lpstr>
      <vt:lpstr>8_8</vt:lpstr>
      <vt:lpstr>8_9</vt:lpstr>
      <vt:lpstr>8_10</vt:lpstr>
      <vt:lpstr>8_11</vt:lpstr>
      <vt:lpstr>9_1</vt:lpstr>
      <vt:lpstr>9_2</vt:lpstr>
      <vt:lpstr>Real_9_4</vt:lpstr>
      <vt:lpstr>Real_9_5</vt:lpstr>
      <vt:lpstr>Real_9_7</vt:lpstr>
      <vt:lpstr>Real_9_8</vt:lpstr>
      <vt:lpstr>Real_9_9</vt:lpstr>
      <vt:lpstr>Real_9_10</vt:lpstr>
      <vt:lpstr>10_3</vt:lpstr>
      <vt:lpstr>10_4</vt:lpstr>
      <vt:lpstr>10_5</vt:lpstr>
      <vt:lpstr>10_7</vt:lpstr>
      <vt:lpstr>10_8_Change_range</vt:lpstr>
      <vt:lpstr>10_11</vt:lpstr>
      <vt:lpstr>10_13</vt:lpstr>
      <vt:lpstr>10_14</vt:lpstr>
      <vt:lpstr>10_15</vt:lpstr>
      <vt:lpstr>10_16</vt:lpstr>
      <vt:lpstr>10_17</vt:lpstr>
      <vt:lpstr>10_18</vt:lpstr>
      <vt:lpstr>11_1</vt:lpstr>
      <vt:lpstr>11_3</vt:lpstr>
      <vt:lpstr>11_5</vt:lpstr>
      <vt:lpstr>11_6</vt:lpstr>
      <vt:lpstr>11_7</vt:lpstr>
      <vt:lpstr>11_8</vt:lpstr>
      <vt:lpstr>11_9</vt:lpstr>
      <vt:lpstr>11_10</vt:lpstr>
      <vt:lpstr>12_4</vt:lpstr>
      <vt:lpstr>12_7</vt:lpstr>
      <vt:lpstr>12_8</vt:lpstr>
      <vt:lpstr>12_9</vt:lpstr>
      <vt:lpstr>12_10</vt:lpstr>
      <vt:lpstr>13_2</vt:lpstr>
      <vt:lpstr>13_3</vt:lpstr>
      <vt:lpstr>14_1</vt:lpstr>
      <vt:lpstr>14_2</vt:lpstr>
      <vt:lpstr>14_3</vt:lpstr>
      <vt:lpstr>14_4</vt:lpstr>
      <vt:lpstr>15_1</vt:lpstr>
      <vt:lpstr>15_2</vt:lpstr>
      <vt:lpstr>15_4</vt:lpstr>
      <vt:lpstr>15_7</vt:lpstr>
      <vt:lpstr>15_10</vt:lpstr>
      <vt:lpstr>15_22_Prob</vt:lpstr>
      <vt:lpstr>15_23</vt:lpstr>
      <vt:lpstr>15_26</vt:lpstr>
      <vt:lpstr>15_27</vt:lpstr>
      <vt:lpstr>15_28</vt:lpstr>
      <vt:lpstr>15_29</vt:lpstr>
      <vt:lpstr>16_1</vt:lpstr>
      <vt:lpstr>16_17</vt:lpstr>
      <vt:lpstr>16_18</vt:lpstr>
      <vt:lpstr>17_2</vt:lpstr>
      <vt:lpstr>17_5</vt:lpstr>
      <vt:lpstr>17_7</vt:lpstr>
      <vt:lpstr>17_8</vt:lpstr>
      <vt:lpstr>17_10</vt:lpstr>
      <vt:lpstr>17_11</vt:lpstr>
      <vt:lpstr>17_12</vt:lpstr>
      <vt:lpstr>17_13</vt:lpstr>
      <vt:lpstr>18_2</vt:lpstr>
      <vt:lpstr>18_3</vt:lpstr>
      <vt:lpstr>18_4</vt:lpstr>
      <vt:lpstr>19_4</vt:lpstr>
      <vt:lpstr>20_1</vt:lpstr>
      <vt:lpstr>20_2</vt:lpstr>
      <vt:lpstr>20_5</vt:lpstr>
      <vt:lpstr>20_10</vt:lpstr>
      <vt:lpstr>21_1</vt:lpstr>
      <vt:lpstr>22_5</vt:lpstr>
      <vt:lpstr>22_6</vt:lpstr>
      <vt:lpstr>22_7</vt:lpstr>
      <vt:lpstr>E_1</vt:lpstr>
      <vt:lpstr>I_1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Maulik</dc:creator>
  <cp:lastModifiedBy>Maulik</cp:lastModifiedBy>
  <dcterms:created xsi:type="dcterms:W3CDTF">2020-09-17T12:40:16Z</dcterms:created>
  <dcterms:modified xsi:type="dcterms:W3CDTF">2021-01-04T05:14:44Z</dcterms:modified>
</cp:coreProperties>
</file>